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en\OneDrive\Documents\"/>
    </mc:Choice>
  </mc:AlternateContent>
  <xr:revisionPtr revIDLastSave="0" documentId="13_ncr:1_{48878B20-444D-40BD-A248-94D775792D0C}" xr6:coauthVersionLast="33" xr6:coauthVersionMax="33" xr10:uidLastSave="{00000000-0000-0000-0000-000000000000}"/>
  <bookViews>
    <workbookView xWindow="0" yWindow="0" windowWidth="20490" windowHeight="7230" tabRatio="847" firstSheet="13" activeTab="20" xr2:uid="{00000000-000D-0000-FFFF-FFFF00000000}"/>
  </bookViews>
  <sheets>
    <sheet name="CompDetail" sheetId="114" r:id="rId1"/>
    <sheet name="AWARDS" sheetId="140" r:id="rId2"/>
    <sheet name="IND Open" sheetId="83" r:id="rId3"/>
    <sheet name="IND Adv" sheetId="125" r:id="rId4"/>
    <sheet name="IND Int" sheetId="112" r:id="rId5"/>
    <sheet name="IND Nov" sheetId="47" r:id="rId6"/>
    <sheet name="IND PreNov" sheetId="96" r:id="rId7"/>
    <sheet name=" IND Prelim A" sheetId="121" r:id="rId8"/>
    <sheet name="IND Prelim B" sheetId="127" r:id="rId9"/>
    <sheet name="IND Prelim C" sheetId="128" r:id="rId10"/>
    <sheet name="PDD Walk A" sheetId="124" r:id="rId11"/>
    <sheet name="PDD Walk B" sheetId="132" r:id="rId12"/>
    <sheet name="SQ Nov Comp" sheetId="130" r:id="rId13"/>
    <sheet name="SQ Nov Free" sheetId="129" r:id="rId14"/>
    <sheet name="SQ Prelim Comp" sheetId="102" r:id="rId15"/>
    <sheet name="Lungers Walk" sheetId="138" r:id="rId16"/>
    <sheet name="Lungers Canter" sheetId="139" r:id="rId17"/>
    <sheet name="Barrel PDD A" sheetId="135" r:id="rId18"/>
    <sheet name="Barrel PDD B 23A " sheetId="136" r:id="rId19"/>
    <sheet name="Barrel PDD B 23B" sheetId="137" r:id="rId20"/>
    <sheet name="Barrel SQUAD" sheetId="134" r:id="rId21"/>
  </sheets>
  <definedNames>
    <definedName name="_xlnm.Print_Area" localSheetId="7">' IND Prelim A'!$BC:$BK</definedName>
    <definedName name="_xlnm.Print_Area" localSheetId="17">'Barrel PDD A'!$P:$S</definedName>
    <definedName name="_xlnm.Print_Area" localSheetId="18">'Barrel PDD B 23A '!$P:$S</definedName>
    <definedName name="_xlnm.Print_Area" localSheetId="19">'Barrel PDD B 23B'!$O:$R</definedName>
    <definedName name="_xlnm.Print_Area" localSheetId="20">'Barrel SQUAD'!$P:$S</definedName>
    <definedName name="_xlnm.Print_Area" localSheetId="3">'IND Adv'!$CA:$CT</definedName>
    <definedName name="_xlnm.Print_Area" localSheetId="4">'IND Int'!$BA:$BM</definedName>
    <definedName name="_xlnm.Print_Area" localSheetId="5">'IND Nov'!$BA:$BI</definedName>
    <definedName name="_xlnm.Print_Area" localSheetId="2">'IND Open'!$CD:$CY</definedName>
    <definedName name="_xlnm.Print_Area" localSheetId="8">'IND Prelim B'!$BC:$BK</definedName>
    <definedName name="_xlnm.Print_Area" localSheetId="9">'IND Prelim C'!$BC:$BK</definedName>
    <definedName name="_xlnm.Print_Area" localSheetId="6">'IND PreNov'!$BC:$BK</definedName>
    <definedName name="_xlnm.Print_Area" localSheetId="15">'Lungers Walk'!$T:$W</definedName>
    <definedName name="_xlnm.Print_Area" localSheetId="10">'PDD Walk A'!$AA:$AE</definedName>
    <definedName name="_xlnm.Print_Area" localSheetId="11">'PDD Walk B'!$AA:$AE</definedName>
    <definedName name="_xlnm.Print_Area" localSheetId="12">'SQ Nov Comp'!$AH:$AN</definedName>
    <definedName name="_xlnm.Print_Area" localSheetId="13">'SQ Nov Free'!$Y:$AE</definedName>
    <definedName name="_xlnm.Print_Area" localSheetId="14">'SQ Prelim Comp'!$AI:$AO</definedName>
    <definedName name="_xlnm.Print_Titles" localSheetId="7">' IND Prelim A'!$A:$E,' IND Prelim A'!$1:$7</definedName>
    <definedName name="_xlnm.Print_Titles" localSheetId="17">'Barrel PDD A'!$A:$C,'Barrel PDD A'!$1:$6</definedName>
    <definedName name="_xlnm.Print_Titles" localSheetId="18">'Barrel PDD B 23A '!$A:$C,'Barrel PDD B 23A '!$1:$6</definedName>
    <definedName name="_xlnm.Print_Titles" localSheetId="19">'Barrel PDD B 23B'!$A:$C,'Barrel PDD B 23B'!$1:$6</definedName>
    <definedName name="_xlnm.Print_Titles" localSheetId="20">'Barrel SQUAD'!$A:$C,'Barrel SQUAD'!$1:$8</definedName>
    <definedName name="_xlnm.Print_Titles" localSheetId="3">'IND Adv'!$A:$E,'IND Adv'!$1:$8</definedName>
    <definedName name="_xlnm.Print_Titles" localSheetId="4">'IND Int'!$A:$E,'IND Int'!$1:$10</definedName>
    <definedName name="_xlnm.Print_Titles" localSheetId="5">'IND Nov'!$A:$E,'IND Nov'!$1:$10</definedName>
    <definedName name="_xlnm.Print_Titles" localSheetId="2">'IND Open'!$A:$E,'IND Open'!$1:$6</definedName>
    <definedName name="_xlnm.Print_Titles" localSheetId="8">'IND Prelim B'!$A:$E,'IND Prelim B'!$1:$7</definedName>
    <definedName name="_xlnm.Print_Titles" localSheetId="9">'IND Prelim C'!$A:$E,'IND Prelim C'!$1:$7</definedName>
    <definedName name="_xlnm.Print_Titles" localSheetId="6">'IND PreNov'!$A:$E,'IND PreNov'!$1:$10</definedName>
    <definedName name="_xlnm.Print_Titles" localSheetId="15">'Lungers Walk'!$A:$E,'Lungers Walk'!$1:$7</definedName>
    <definedName name="_xlnm.Print_Titles" localSheetId="10">'PDD Walk A'!$A:$E,'PDD Walk A'!$1:$6</definedName>
    <definedName name="_xlnm.Print_Titles" localSheetId="11">'PDD Walk B'!$A:$E,'PDD Walk B'!$1:$6</definedName>
    <definedName name="_xlnm.Print_Titles" localSheetId="12">'SQ Nov Comp'!$A:$E,'SQ Nov Comp'!$1:$8</definedName>
    <definedName name="_xlnm.Print_Titles" localSheetId="13">'SQ Nov Free'!$A:$E,'SQ Nov Free'!$1:$8</definedName>
    <definedName name="_xlnm.Print_Titles" localSheetId="14">'SQ Prelim Comp'!$A:$E,'SQ Prelim Comp'!$1:$7</definedName>
  </definedNames>
  <calcPr calcId="179017"/>
  <fileRecoveryPr autoRecover="0"/>
</workbook>
</file>

<file path=xl/calcChain.xml><?xml version="1.0" encoding="utf-8"?>
<calcChain xmlns="http://schemas.openxmlformats.org/spreadsheetml/2006/main">
  <c r="N32" i="134" l="1"/>
  <c r="Q32" i="134" s="1"/>
  <c r="N39" i="134"/>
  <c r="Q39" i="134" s="1"/>
  <c r="N18" i="134"/>
  <c r="Q18" i="134" s="1"/>
  <c r="N25" i="134"/>
  <c r="Q25" i="134" l="1"/>
  <c r="F7" i="134"/>
  <c r="M7" i="134"/>
  <c r="CN16" i="125" l="1"/>
  <c r="CN15" i="125"/>
  <c r="CN14" i="125"/>
  <c r="CN13" i="125"/>
  <c r="CN12" i="125"/>
  <c r="CN11" i="125"/>
  <c r="CP10" i="83" l="1"/>
  <c r="CK11" i="125"/>
  <c r="CK12" i="125"/>
  <c r="Y16" i="125"/>
  <c r="CK16" i="125" s="1"/>
  <c r="Y13" i="125"/>
  <c r="CK13" i="125" s="1"/>
  <c r="Y11" i="125"/>
  <c r="Y14" i="125"/>
  <c r="CK14" i="125" s="1"/>
  <c r="Y15" i="125"/>
  <c r="CK15" i="125" s="1"/>
  <c r="Y12" i="125"/>
  <c r="AA32" i="129"/>
  <c r="AA25" i="129"/>
  <c r="Z25" i="129"/>
  <c r="Y32" i="129"/>
  <c r="Y25" i="129"/>
  <c r="S7" i="129"/>
  <c r="O7" i="129"/>
  <c r="H7" i="129"/>
  <c r="AA18" i="129"/>
  <c r="Z18" i="129"/>
  <c r="Y18" i="129"/>
  <c r="N25" i="129"/>
  <c r="N32" i="129"/>
  <c r="N18" i="129"/>
  <c r="AD16" i="47"/>
  <c r="AD13" i="47"/>
  <c r="AD11" i="47"/>
  <c r="AD12" i="47"/>
  <c r="AD14" i="47"/>
  <c r="AD15" i="47"/>
  <c r="AE11" i="128"/>
  <c r="AE12" i="128"/>
  <c r="Q23" i="136"/>
  <c r="Q21" i="136"/>
  <c r="Q19" i="136"/>
  <c r="Q17" i="136"/>
  <c r="Q15" i="136"/>
  <c r="Q13" i="136"/>
  <c r="Q11" i="136"/>
  <c r="AE19" i="128"/>
  <c r="AE17" i="128"/>
  <c r="AE13" i="128"/>
  <c r="AE15" i="128"/>
  <c r="G6" i="112" l="1"/>
  <c r="BF25" i="112"/>
  <c r="BF24" i="112"/>
  <c r="BF23" i="112"/>
  <c r="BF22" i="112"/>
  <c r="BF21" i="112"/>
  <c r="BF20" i="112"/>
  <c r="BF19" i="112"/>
  <c r="BF18" i="112"/>
  <c r="BF17" i="112"/>
  <c r="BF16" i="112"/>
  <c r="BF15" i="112"/>
  <c r="BF14" i="112"/>
  <c r="BF13" i="112"/>
  <c r="BF12" i="112"/>
  <c r="BE25" i="112"/>
  <c r="BE24" i="112"/>
  <c r="BE23" i="112"/>
  <c r="BE22" i="112"/>
  <c r="BE21" i="112"/>
  <c r="BE20" i="112"/>
  <c r="BE19" i="112"/>
  <c r="BE18" i="112"/>
  <c r="BE17" i="112"/>
  <c r="BE16" i="112"/>
  <c r="BE15" i="112"/>
  <c r="BE14" i="112"/>
  <c r="BE13" i="112"/>
  <c r="BE12" i="112"/>
  <c r="BD25" i="112"/>
  <c r="BD24" i="112"/>
  <c r="BD23" i="112"/>
  <c r="BD22" i="112"/>
  <c r="BD21" i="112"/>
  <c r="BD20" i="112"/>
  <c r="BD19" i="112"/>
  <c r="BD18" i="112"/>
  <c r="BD17" i="112"/>
  <c r="BD16" i="112"/>
  <c r="BD15" i="112"/>
  <c r="BD14" i="112"/>
  <c r="BD13" i="112"/>
  <c r="BD12" i="112"/>
  <c r="BC25" i="112"/>
  <c r="BC24" i="112"/>
  <c r="BC23" i="112"/>
  <c r="BC22" i="112"/>
  <c r="BC21" i="112"/>
  <c r="BC20" i="112"/>
  <c r="BC19" i="112"/>
  <c r="BC18" i="112"/>
  <c r="BC17" i="112"/>
  <c r="BC16" i="112"/>
  <c r="BC15" i="112"/>
  <c r="BC14" i="112"/>
  <c r="BC13" i="112"/>
  <c r="BC12" i="112"/>
  <c r="BB25" i="112"/>
  <c r="BB24" i="112"/>
  <c r="BB23" i="112"/>
  <c r="BB22" i="112"/>
  <c r="BB21" i="112"/>
  <c r="BB20" i="112"/>
  <c r="BB19" i="112"/>
  <c r="BB18" i="112"/>
  <c r="BB17" i="112"/>
  <c r="BB16" i="112"/>
  <c r="BB15" i="112"/>
  <c r="BB14" i="112"/>
  <c r="BB13" i="112"/>
  <c r="BB12" i="112"/>
  <c r="L5" i="137"/>
  <c r="E5" i="137"/>
  <c r="M5" i="136"/>
  <c r="F5" i="136"/>
  <c r="F5" i="135"/>
  <c r="M5" i="135"/>
  <c r="AN11" i="125"/>
  <c r="AD17" i="112"/>
  <c r="AD24" i="112"/>
  <c r="AD19" i="112"/>
  <c r="AD15" i="112"/>
  <c r="AD13" i="112"/>
  <c r="AD22" i="112"/>
  <c r="AD18" i="112"/>
  <c r="AD12" i="112"/>
  <c r="AD14" i="112"/>
  <c r="AD16" i="112"/>
  <c r="AD25" i="112"/>
  <c r="AD21" i="112"/>
  <c r="AD11" i="112"/>
  <c r="AE16" i="127"/>
  <c r="AE15" i="127"/>
  <c r="AE20" i="127"/>
  <c r="AK39" i="102" l="1"/>
  <c r="AJ39" i="102"/>
  <c r="AI39" i="102"/>
  <c r="AK32" i="102"/>
  <c r="AJ32" i="102"/>
  <c r="AI32" i="102"/>
  <c r="AK25" i="102"/>
  <c r="AJ25" i="102"/>
  <c r="AI25" i="102"/>
  <c r="AJ18" i="102"/>
  <c r="AK18" i="102"/>
  <c r="AI18" i="102"/>
  <c r="R12" i="138" l="1"/>
  <c r="K12" i="138"/>
  <c r="AY17" i="128"/>
  <c r="BA17" i="128" s="1"/>
  <c r="AQ17" i="128"/>
  <c r="AR17" i="128" s="1"/>
  <c r="AG17" i="128"/>
  <c r="AB17" i="128"/>
  <c r="AC17" i="128" s="1"/>
  <c r="BD17" i="128" s="1"/>
  <c r="R17" i="128"/>
  <c r="K17" i="128"/>
  <c r="AY13" i="128"/>
  <c r="BA13" i="128" s="1"/>
  <c r="AQ13" i="128"/>
  <c r="AR13" i="128" s="1"/>
  <c r="AG13" i="128"/>
  <c r="AB13" i="128"/>
  <c r="AC13" i="128" s="1"/>
  <c r="R13" i="128"/>
  <c r="K13" i="128"/>
  <c r="AY15" i="128"/>
  <c r="BA15" i="128" s="1"/>
  <c r="AQ15" i="128"/>
  <c r="AR15" i="128" s="1"/>
  <c r="AG15" i="128"/>
  <c r="AB15" i="128"/>
  <c r="AC15" i="128" s="1"/>
  <c r="R15" i="128"/>
  <c r="K15" i="128"/>
  <c r="AW20" i="112"/>
  <c r="AY20" i="112" s="1"/>
  <c r="AO20" i="112"/>
  <c r="AP20" i="112" s="1"/>
  <c r="AF20" i="112"/>
  <c r="AA20" i="112"/>
  <c r="AB20" i="112" s="1"/>
  <c r="R20" i="112"/>
  <c r="K20" i="112"/>
  <c r="K13" i="138"/>
  <c r="R13" i="138"/>
  <c r="U13" i="138" s="1"/>
  <c r="T13" i="138"/>
  <c r="V13" i="138"/>
  <c r="BD13" i="128" l="1"/>
  <c r="BD15" i="128"/>
  <c r="BA20" i="112"/>
  <c r="BH15" i="128"/>
  <c r="BE15" i="128"/>
  <c r="BC15" i="128"/>
  <c r="BC13" i="128"/>
  <c r="BC17" i="128"/>
  <c r="BH13" i="128"/>
  <c r="BE13" i="128"/>
  <c r="BH17" i="128"/>
  <c r="BE17" i="128"/>
  <c r="BF15" i="128"/>
  <c r="BF13" i="128"/>
  <c r="BF17" i="128"/>
  <c r="BJ17" i="128" s="1"/>
  <c r="BJ20" i="112"/>
  <c r="BH20" i="112"/>
  <c r="G5" i="139"/>
  <c r="N7" i="138"/>
  <c r="G7" i="138"/>
  <c r="BJ13" i="128" l="1"/>
  <c r="BJ15" i="128"/>
  <c r="BL20" i="112"/>
  <c r="U12" i="138"/>
  <c r="A3" i="138"/>
  <c r="A1" i="138"/>
  <c r="N5" i="139"/>
  <c r="R10" i="139"/>
  <c r="K10" i="139"/>
  <c r="V10" i="139" s="1"/>
  <c r="V12" i="138" l="1"/>
  <c r="T12" i="138"/>
  <c r="W12" i="138" l="1"/>
  <c r="A3" i="139" l="1"/>
  <c r="AB2" i="139"/>
  <c r="AB1" i="139"/>
  <c r="A1" i="139"/>
  <c r="I13" i="137"/>
  <c r="O13" i="137" s="1"/>
  <c r="M13" i="137"/>
  <c r="P13" i="137" s="1"/>
  <c r="I21" i="137"/>
  <c r="O21" i="137" s="1"/>
  <c r="M21" i="137"/>
  <c r="P21" i="137" s="1"/>
  <c r="I11" i="137"/>
  <c r="O11" i="137" s="1"/>
  <c r="M11" i="137"/>
  <c r="P11" i="137" s="1"/>
  <c r="I19" i="137"/>
  <c r="O19" i="137" s="1"/>
  <c r="M19" i="137"/>
  <c r="P19" i="137" s="1"/>
  <c r="I15" i="137"/>
  <c r="O15" i="137" s="1"/>
  <c r="M15" i="137"/>
  <c r="P15" i="137" s="1"/>
  <c r="I17" i="137"/>
  <c r="O17" i="137" s="1"/>
  <c r="M17" i="137"/>
  <c r="P17" i="137" s="1"/>
  <c r="I23" i="137"/>
  <c r="O23" i="137" s="1"/>
  <c r="M23" i="137"/>
  <c r="P23" i="137" s="1"/>
  <c r="A3" i="137"/>
  <c r="A1" i="137"/>
  <c r="J11" i="136"/>
  <c r="N11" i="136"/>
  <c r="J23" i="136"/>
  <c r="N23" i="136"/>
  <c r="J21" i="136"/>
  <c r="N21" i="136"/>
  <c r="J13" i="136"/>
  <c r="N13" i="136"/>
  <c r="J19" i="136"/>
  <c r="N19" i="136"/>
  <c r="J17" i="136"/>
  <c r="N17" i="136"/>
  <c r="J15" i="136"/>
  <c r="N15" i="136"/>
  <c r="A3" i="136"/>
  <c r="A1" i="136"/>
  <c r="J15" i="135"/>
  <c r="P15" i="135" s="1"/>
  <c r="N15" i="135"/>
  <c r="Q15" i="135" s="1"/>
  <c r="J13" i="135"/>
  <c r="P13" i="135" s="1"/>
  <c r="N13" i="135"/>
  <c r="Q13" i="135" s="1"/>
  <c r="J19" i="135"/>
  <c r="P19" i="135" s="1"/>
  <c r="N19" i="135"/>
  <c r="Q19" i="135" s="1"/>
  <c r="J23" i="135"/>
  <c r="P23" i="135" s="1"/>
  <c r="N23" i="135"/>
  <c r="Q23" i="135" s="1"/>
  <c r="J17" i="135"/>
  <c r="P17" i="135" s="1"/>
  <c r="N17" i="135"/>
  <c r="Q17" i="135" s="1"/>
  <c r="J21" i="135"/>
  <c r="P21" i="135" s="1"/>
  <c r="N21" i="135"/>
  <c r="Q21" i="135" s="1"/>
  <c r="J11" i="135"/>
  <c r="P11" i="135" s="1"/>
  <c r="N11" i="135"/>
  <c r="Q11" i="135" s="1"/>
  <c r="A3" i="135"/>
  <c r="A1" i="135"/>
  <c r="J32" i="134"/>
  <c r="R32" i="134" s="1"/>
  <c r="J39" i="134"/>
  <c r="R39" i="134" s="1"/>
  <c r="J18" i="134"/>
  <c r="R18" i="134" s="1"/>
  <c r="J25" i="134"/>
  <c r="R25" i="134" s="1"/>
  <c r="P39" i="134" l="1"/>
  <c r="P32" i="134"/>
  <c r="P18" i="134"/>
  <c r="P25" i="134"/>
  <c r="P11" i="136"/>
  <c r="P21" i="136"/>
  <c r="P23" i="136"/>
  <c r="P13" i="136"/>
  <c r="P19" i="136"/>
  <c r="P17" i="136"/>
  <c r="P15" i="136"/>
  <c r="R17" i="136"/>
  <c r="R13" i="136"/>
  <c r="R23" i="136"/>
  <c r="R11" i="136"/>
  <c r="R23" i="135"/>
  <c r="R17" i="135"/>
  <c r="R21" i="135"/>
  <c r="Q23" i="137"/>
  <c r="Q15" i="137"/>
  <c r="Q11" i="137"/>
  <c r="Q17" i="137"/>
  <c r="Q19" i="137"/>
  <c r="Q21" i="137"/>
  <c r="Q13" i="137"/>
  <c r="R15" i="136"/>
  <c r="R19" i="136"/>
  <c r="R21" i="136"/>
  <c r="R19" i="135"/>
  <c r="R13" i="135"/>
  <c r="R15" i="135"/>
  <c r="R11" i="135"/>
  <c r="A3" i="134"/>
  <c r="A1" i="134"/>
  <c r="BW16" i="125" l="1"/>
  <c r="BY16" i="125" s="1"/>
  <c r="CM16" i="125" s="1"/>
  <c r="BW13" i="125"/>
  <c r="BY13" i="125" s="1"/>
  <c r="CM13" i="125" s="1"/>
  <c r="BW11" i="125"/>
  <c r="BY11" i="125" s="1"/>
  <c r="CM11" i="125" s="1"/>
  <c r="BW14" i="125"/>
  <c r="BY14" i="125" s="1"/>
  <c r="CM14" i="125" s="1"/>
  <c r="BW15" i="125"/>
  <c r="BY15" i="125" s="1"/>
  <c r="CM15" i="125" s="1"/>
  <c r="BW12" i="125"/>
  <c r="BY12" i="125" s="1"/>
  <c r="CM12" i="125" s="1"/>
  <c r="AT16" i="125"/>
  <c r="AV16" i="125" s="1"/>
  <c r="AT13" i="125"/>
  <c r="AV13" i="125" s="1"/>
  <c r="AT11" i="125"/>
  <c r="AV11" i="125" s="1"/>
  <c r="AT14" i="125"/>
  <c r="AV14" i="125" s="1"/>
  <c r="AT15" i="125"/>
  <c r="AV15" i="125" s="1"/>
  <c r="AT12" i="125"/>
  <c r="AV12" i="125" s="1"/>
  <c r="CL12" i="125" s="1"/>
  <c r="BN16" i="125"/>
  <c r="BP16" i="125" s="1"/>
  <c r="CH16" i="125" s="1"/>
  <c r="BF16" i="125"/>
  <c r="BG16" i="125" s="1"/>
  <c r="CC16" i="125" s="1"/>
  <c r="AN16" i="125"/>
  <c r="AP16" i="125" s="1"/>
  <c r="CG16" i="125" s="1"/>
  <c r="AI16" i="125"/>
  <c r="AJ16" i="125" s="1"/>
  <c r="CB16" i="125" s="1"/>
  <c r="R16" i="125"/>
  <c r="K16" i="125"/>
  <c r="CA16" i="125" s="1"/>
  <c r="BN13" i="125"/>
  <c r="BP13" i="125" s="1"/>
  <c r="CH13" i="125" s="1"/>
  <c r="BF13" i="125"/>
  <c r="BG13" i="125" s="1"/>
  <c r="CC13" i="125" s="1"/>
  <c r="AN13" i="125"/>
  <c r="AP13" i="125" s="1"/>
  <c r="CG13" i="125" s="1"/>
  <c r="AI13" i="125"/>
  <c r="AJ13" i="125" s="1"/>
  <c r="CB13" i="125" s="1"/>
  <c r="R13" i="125"/>
  <c r="K13" i="125"/>
  <c r="CA13" i="125" s="1"/>
  <c r="BN11" i="125"/>
  <c r="BP11" i="125" s="1"/>
  <c r="CH11" i="125" s="1"/>
  <c r="BF11" i="125"/>
  <c r="BG11" i="125" s="1"/>
  <c r="CC11" i="125" s="1"/>
  <c r="AP11" i="125"/>
  <c r="CG11" i="125" s="1"/>
  <c r="AI11" i="125"/>
  <c r="AJ11" i="125" s="1"/>
  <c r="CB11" i="125" s="1"/>
  <c r="R11" i="125"/>
  <c r="K11" i="125"/>
  <c r="CA11" i="125" s="1"/>
  <c r="BN14" i="125"/>
  <c r="BP14" i="125" s="1"/>
  <c r="CH14" i="125" s="1"/>
  <c r="BF14" i="125"/>
  <c r="BG14" i="125" s="1"/>
  <c r="CC14" i="125" s="1"/>
  <c r="AN14" i="125"/>
  <c r="AP14" i="125" s="1"/>
  <c r="CG14" i="125" s="1"/>
  <c r="AI14" i="125"/>
  <c r="AJ14" i="125" s="1"/>
  <c r="CB14" i="125" s="1"/>
  <c r="R14" i="125"/>
  <c r="K14" i="125"/>
  <c r="CA14" i="125" s="1"/>
  <c r="BN15" i="125"/>
  <c r="BP15" i="125" s="1"/>
  <c r="CH15" i="125" s="1"/>
  <c r="BF15" i="125"/>
  <c r="BG15" i="125" s="1"/>
  <c r="CC15" i="125" s="1"/>
  <c r="AN15" i="125"/>
  <c r="AP15" i="125" s="1"/>
  <c r="CG15" i="125" s="1"/>
  <c r="AI15" i="125"/>
  <c r="AJ15" i="125" s="1"/>
  <c r="CB15" i="125" s="1"/>
  <c r="R15" i="125"/>
  <c r="K15" i="125"/>
  <c r="CA15" i="125" s="1"/>
  <c r="CL15" i="125" l="1"/>
  <c r="CR15" i="125"/>
  <c r="CL14" i="125"/>
  <c r="CR14" i="125"/>
  <c r="CL16" i="125"/>
  <c r="CR16" i="125"/>
  <c r="CL13" i="125"/>
  <c r="CR13" i="125"/>
  <c r="CL11" i="125"/>
  <c r="CR11" i="125"/>
  <c r="CQ16" i="125"/>
  <c r="CI16" i="125"/>
  <c r="CQ11" i="125"/>
  <c r="CI11" i="125" s="1"/>
  <c r="CQ15" i="125"/>
  <c r="CI15" i="125"/>
  <c r="CQ14" i="125"/>
  <c r="CQ13" i="125"/>
  <c r="CR12" i="125"/>
  <c r="CP14" i="125"/>
  <c r="CP13" i="125"/>
  <c r="CP16" i="125"/>
  <c r="CF15" i="125"/>
  <c r="CF14" i="125"/>
  <c r="CF11" i="125"/>
  <c r="CF13" i="125"/>
  <c r="CF16" i="125"/>
  <c r="CP11" i="125"/>
  <c r="CS11" i="125" s="1"/>
  <c r="CP15" i="125"/>
  <c r="CS15" i="125" s="1"/>
  <c r="W11" i="124"/>
  <c r="Y11" i="124" s="1"/>
  <c r="AC11" i="124" s="1"/>
  <c r="P11" i="124"/>
  <c r="AB11" i="124" s="1"/>
  <c r="L11" i="124"/>
  <c r="AA11" i="124" s="1"/>
  <c r="W23" i="124"/>
  <c r="Y23" i="124" s="1"/>
  <c r="AC23" i="124" s="1"/>
  <c r="P23" i="124"/>
  <c r="AB23" i="124" s="1"/>
  <c r="L23" i="124"/>
  <c r="AA23" i="124" s="1"/>
  <c r="W17" i="124"/>
  <c r="Y17" i="124" s="1"/>
  <c r="AC17" i="124" s="1"/>
  <c r="P17" i="124"/>
  <c r="AB17" i="124" s="1"/>
  <c r="L17" i="124"/>
  <c r="AA17" i="124" s="1"/>
  <c r="W15" i="124"/>
  <c r="Y15" i="124" s="1"/>
  <c r="AC15" i="124" s="1"/>
  <c r="P15" i="124"/>
  <c r="AB15" i="124" s="1"/>
  <c r="L15" i="124"/>
  <c r="AA15" i="124" s="1"/>
  <c r="W29" i="124"/>
  <c r="Y29" i="124" s="1"/>
  <c r="AC29" i="124" s="1"/>
  <c r="P29" i="124"/>
  <c r="AB29" i="124" s="1"/>
  <c r="L29" i="124"/>
  <c r="AA29" i="124" s="1"/>
  <c r="W13" i="124"/>
  <c r="Y13" i="124" s="1"/>
  <c r="AC13" i="124" s="1"/>
  <c r="P13" i="124"/>
  <c r="AB13" i="124" s="1"/>
  <c r="L13" i="124"/>
  <c r="AA13" i="124" s="1"/>
  <c r="W21" i="124"/>
  <c r="Y21" i="124" s="1"/>
  <c r="AC21" i="124" s="1"/>
  <c r="P21" i="124"/>
  <c r="AB21" i="124" s="1"/>
  <c r="L21" i="124"/>
  <c r="AA21" i="124" s="1"/>
  <c r="W25" i="124"/>
  <c r="Y25" i="124" s="1"/>
  <c r="AC25" i="124" s="1"/>
  <c r="P25" i="124"/>
  <c r="AB25" i="124" s="1"/>
  <c r="L25" i="124"/>
  <c r="AA25" i="124" s="1"/>
  <c r="W27" i="124"/>
  <c r="Y27" i="124" s="1"/>
  <c r="AC27" i="124" s="1"/>
  <c r="P27" i="124"/>
  <c r="AB27" i="124" s="1"/>
  <c r="L27" i="124"/>
  <c r="AA27" i="124" s="1"/>
  <c r="W31" i="124"/>
  <c r="Y31" i="124" s="1"/>
  <c r="AC31" i="124" s="1"/>
  <c r="P31" i="124"/>
  <c r="AB31" i="124" s="1"/>
  <c r="L31" i="124"/>
  <c r="AY11" i="128"/>
  <c r="BA11" i="128" s="1"/>
  <c r="AQ11" i="128"/>
  <c r="AR11" i="128" s="1"/>
  <c r="AG11" i="128"/>
  <c r="AB11" i="128"/>
  <c r="AC11" i="128" s="1"/>
  <c r="R11" i="128"/>
  <c r="K11" i="128"/>
  <c r="AY12" i="128"/>
  <c r="BA12" i="128" s="1"/>
  <c r="AQ12" i="128"/>
  <c r="AR12" i="128" s="1"/>
  <c r="AG12" i="128"/>
  <c r="AB12" i="128"/>
  <c r="AC12" i="128" s="1"/>
  <c r="R12" i="128"/>
  <c r="K12" i="128"/>
  <c r="AY18" i="128"/>
  <c r="BA18" i="128" s="1"/>
  <c r="AQ18" i="128"/>
  <c r="AR18" i="128" s="1"/>
  <c r="AG18" i="128"/>
  <c r="AB18" i="128"/>
  <c r="AC18" i="128" s="1"/>
  <c r="R18" i="128"/>
  <c r="K18" i="128"/>
  <c r="AY14" i="128"/>
  <c r="BA14" i="128" s="1"/>
  <c r="AQ14" i="128"/>
  <c r="AR14" i="128" s="1"/>
  <c r="AG14" i="128"/>
  <c r="AB14" i="128"/>
  <c r="AC14" i="128" s="1"/>
  <c r="R14" i="128"/>
  <c r="K14" i="128"/>
  <c r="AY16" i="128"/>
  <c r="BA16" i="128" s="1"/>
  <c r="AQ16" i="128"/>
  <c r="AR16" i="128" s="1"/>
  <c r="AG16" i="128"/>
  <c r="AB16" i="128"/>
  <c r="AC16" i="128" s="1"/>
  <c r="R16" i="128"/>
  <c r="K16" i="128"/>
  <c r="W21" i="132"/>
  <c r="Y21" i="132" s="1"/>
  <c r="AC21" i="132" s="1"/>
  <c r="P21" i="132"/>
  <c r="AB21" i="132" s="1"/>
  <c r="L21" i="132"/>
  <c r="W17" i="132"/>
  <c r="Y17" i="132" s="1"/>
  <c r="AC17" i="132" s="1"/>
  <c r="P17" i="132"/>
  <c r="AB17" i="132" s="1"/>
  <c r="L17" i="132"/>
  <c r="AA17" i="132" s="1"/>
  <c r="W11" i="132"/>
  <c r="Y11" i="132" s="1"/>
  <c r="P11" i="132"/>
  <c r="AB11" i="132" s="1"/>
  <c r="L11" i="132"/>
  <c r="AA11" i="132" s="1"/>
  <c r="W23" i="132"/>
  <c r="Y23" i="132" s="1"/>
  <c r="AC23" i="132" s="1"/>
  <c r="P23" i="132"/>
  <c r="AB23" i="132" s="1"/>
  <c r="L23" i="132"/>
  <c r="AA23" i="132" s="1"/>
  <c r="W15" i="132"/>
  <c r="Y15" i="132" s="1"/>
  <c r="AC15" i="132" s="1"/>
  <c r="P15" i="132"/>
  <c r="AB15" i="132" s="1"/>
  <c r="L15" i="132"/>
  <c r="W19" i="132"/>
  <c r="Y19" i="132" s="1"/>
  <c r="AC19" i="132" s="1"/>
  <c r="P19" i="132"/>
  <c r="AB19" i="132" s="1"/>
  <c r="L19" i="132"/>
  <c r="AA19" i="132" s="1"/>
  <c r="W13" i="132"/>
  <c r="Y13" i="132" s="1"/>
  <c r="P13" i="132"/>
  <c r="AB13" i="132" s="1"/>
  <c r="L13" i="132"/>
  <c r="AA13" i="132" s="1"/>
  <c r="S5" i="132"/>
  <c r="O5" i="132"/>
  <c r="H5" i="132"/>
  <c r="A3" i="132"/>
  <c r="AE2" i="132"/>
  <c r="AE1" i="132"/>
  <c r="A1" i="132"/>
  <c r="AY16" i="127"/>
  <c r="BA16" i="127" s="1"/>
  <c r="AQ16" i="127"/>
  <c r="AR16" i="127" s="1"/>
  <c r="AG16" i="127"/>
  <c r="AB16" i="127"/>
  <c r="AC16" i="127" s="1"/>
  <c r="R16" i="127"/>
  <c r="K16" i="127"/>
  <c r="AY11" i="127"/>
  <c r="BA11" i="127" s="1"/>
  <c r="AQ11" i="127"/>
  <c r="AR11" i="127" s="1"/>
  <c r="AG11" i="127"/>
  <c r="AB11" i="127"/>
  <c r="AC11" i="127" s="1"/>
  <c r="BD11" i="127" s="1"/>
  <c r="R11" i="127"/>
  <c r="K11" i="127"/>
  <c r="AY12" i="127"/>
  <c r="BA12" i="127" s="1"/>
  <c r="AQ12" i="127"/>
  <c r="AR12" i="127" s="1"/>
  <c r="AG12" i="127"/>
  <c r="AB12" i="127"/>
  <c r="AC12" i="127" s="1"/>
  <c r="R12" i="127"/>
  <c r="K12" i="127"/>
  <c r="AY13" i="127"/>
  <c r="BA13" i="127" s="1"/>
  <c r="AQ13" i="127"/>
  <c r="AR13" i="127" s="1"/>
  <c r="AG13" i="127"/>
  <c r="AB13" i="127"/>
  <c r="AC13" i="127" s="1"/>
  <c r="BD13" i="127" s="1"/>
  <c r="R13" i="127"/>
  <c r="K13" i="127"/>
  <c r="AY17" i="127"/>
  <c r="BA17" i="127" s="1"/>
  <c r="AQ17" i="127"/>
  <c r="AR17" i="127" s="1"/>
  <c r="AG17" i="127"/>
  <c r="AB17" i="127"/>
  <c r="AC17" i="127" s="1"/>
  <c r="R17" i="127"/>
  <c r="K17" i="127"/>
  <c r="AY19" i="127"/>
  <c r="BA19" i="127" s="1"/>
  <c r="AQ19" i="127"/>
  <c r="AR19" i="127" s="1"/>
  <c r="AG19" i="127"/>
  <c r="AB19" i="127"/>
  <c r="AC19" i="127" s="1"/>
  <c r="R19" i="127"/>
  <c r="K19" i="127"/>
  <c r="AY14" i="127"/>
  <c r="BA14" i="127" s="1"/>
  <c r="AQ14" i="127"/>
  <c r="AR14" i="127" s="1"/>
  <c r="AG14" i="127"/>
  <c r="AB14" i="127"/>
  <c r="AC14" i="127" s="1"/>
  <c r="R14" i="127"/>
  <c r="K14" i="127"/>
  <c r="AY18" i="127"/>
  <c r="BA18" i="127" s="1"/>
  <c r="AQ18" i="127"/>
  <c r="AR18" i="127" s="1"/>
  <c r="AG18" i="127"/>
  <c r="AB18" i="127"/>
  <c r="AC18" i="127" s="1"/>
  <c r="R18" i="127"/>
  <c r="K18" i="127"/>
  <c r="AY15" i="127"/>
  <c r="BA15" i="127" s="1"/>
  <c r="AQ15" i="127"/>
  <c r="AR15" i="127" s="1"/>
  <c r="AG15" i="127"/>
  <c r="AB15" i="127"/>
  <c r="AC15" i="127" s="1"/>
  <c r="R15" i="127"/>
  <c r="K15" i="127"/>
  <c r="AY20" i="127"/>
  <c r="BA20" i="127" s="1"/>
  <c r="AQ20" i="127"/>
  <c r="AR20" i="127" s="1"/>
  <c r="AG20" i="127"/>
  <c r="AB20" i="127"/>
  <c r="AC20" i="127" s="1"/>
  <c r="R20" i="127"/>
  <c r="K20" i="127"/>
  <c r="CS16" i="125" l="1"/>
  <c r="BH12" i="128"/>
  <c r="BH14" i="128"/>
  <c r="BE18" i="128"/>
  <c r="BD12" i="128"/>
  <c r="BE14" i="128"/>
  <c r="BD11" i="128"/>
  <c r="CI13" i="125"/>
  <c r="CS13" i="125"/>
  <c r="CI14" i="125"/>
  <c r="CS14" i="125"/>
  <c r="BD15" i="127"/>
  <c r="BD14" i="127"/>
  <c r="BD17" i="127"/>
  <c r="BD20" i="127"/>
  <c r="BD18" i="127"/>
  <c r="BD19" i="127"/>
  <c r="BD12" i="127"/>
  <c r="BD16" i="127"/>
  <c r="CD15" i="125"/>
  <c r="CD13" i="125"/>
  <c r="CD11" i="125"/>
  <c r="CD14" i="125"/>
  <c r="CD16" i="125"/>
  <c r="BF16" i="128"/>
  <c r="BF18" i="128"/>
  <c r="BE16" i="128"/>
  <c r="BD14" i="128"/>
  <c r="BE12" i="128"/>
  <c r="AD23" i="124"/>
  <c r="AD11" i="124"/>
  <c r="AD15" i="124"/>
  <c r="AD17" i="124"/>
  <c r="AD29" i="124"/>
  <c r="AD21" i="124"/>
  <c r="AD25" i="124"/>
  <c r="AD13" i="124"/>
  <c r="AD27" i="124"/>
  <c r="AD31" i="124"/>
  <c r="AA31" i="124"/>
  <c r="BH16" i="128"/>
  <c r="BH18" i="128"/>
  <c r="BF11" i="128"/>
  <c r="BD16" i="128"/>
  <c r="BD18" i="128"/>
  <c r="BF14" i="128"/>
  <c r="BJ14" i="128" s="1"/>
  <c r="BF12" i="128"/>
  <c r="BH11" i="128"/>
  <c r="BE11" i="128"/>
  <c r="BC16" i="128"/>
  <c r="BC14" i="128"/>
  <c r="BC18" i="128"/>
  <c r="BC12" i="128"/>
  <c r="BC11" i="128"/>
  <c r="AD13" i="132"/>
  <c r="AC13" i="132"/>
  <c r="AD15" i="132"/>
  <c r="AC11" i="132"/>
  <c r="AD11" i="132"/>
  <c r="AD21" i="132"/>
  <c r="AD23" i="132"/>
  <c r="AD19" i="132"/>
  <c r="AD17" i="132"/>
  <c r="AA15" i="132"/>
  <c r="AA21" i="132"/>
  <c r="BC20" i="127"/>
  <c r="BF15" i="127"/>
  <c r="BF18" i="127"/>
  <c r="BC14" i="127"/>
  <c r="BF19" i="127"/>
  <c r="BF17" i="127"/>
  <c r="BF13" i="127"/>
  <c r="BC12" i="127"/>
  <c r="BF11" i="127"/>
  <c r="BF16" i="127"/>
  <c r="BH20" i="127"/>
  <c r="BE20" i="127"/>
  <c r="BH15" i="127"/>
  <c r="BE15" i="127"/>
  <c r="BH18" i="127"/>
  <c r="BE18" i="127"/>
  <c r="BH14" i="127"/>
  <c r="BE14" i="127"/>
  <c r="BH19" i="127"/>
  <c r="BE19" i="127"/>
  <c r="BH17" i="127"/>
  <c r="BE17" i="127"/>
  <c r="BH13" i="127"/>
  <c r="BE13" i="127"/>
  <c r="BH12" i="127"/>
  <c r="BE12" i="127"/>
  <c r="BH11" i="127"/>
  <c r="BE11" i="127"/>
  <c r="BH16" i="127"/>
  <c r="BE16" i="127"/>
  <c r="BF14" i="127"/>
  <c r="BF12" i="127"/>
  <c r="BC15" i="127"/>
  <c r="BC19" i="127"/>
  <c r="BC17" i="127"/>
  <c r="BC13" i="127"/>
  <c r="BC11" i="127"/>
  <c r="BC16" i="127"/>
  <c r="BC18" i="127"/>
  <c r="BF20" i="127"/>
  <c r="BJ12" i="128" l="1"/>
  <c r="BJ18" i="128"/>
  <c r="BJ16" i="128"/>
  <c r="BJ12" i="127"/>
  <c r="BJ14" i="127"/>
  <c r="BJ20" i="127"/>
  <c r="BJ11" i="128"/>
  <c r="BJ13" i="127"/>
  <c r="BJ16" i="127"/>
  <c r="BJ18" i="127"/>
  <c r="BJ11" i="127"/>
  <c r="BJ17" i="127"/>
  <c r="BJ15" i="127"/>
  <c r="BJ19" i="127"/>
  <c r="K11" i="112"/>
  <c r="BA11" i="112" s="1"/>
  <c r="R11" i="112"/>
  <c r="BD11" i="112" s="1"/>
  <c r="AA11" i="112"/>
  <c r="AB11" i="112" s="1"/>
  <c r="BB11" i="112" s="1"/>
  <c r="AF11" i="112"/>
  <c r="BE11" i="112" s="1"/>
  <c r="AO11" i="112"/>
  <c r="AP11" i="112" s="1"/>
  <c r="BC11" i="112" s="1"/>
  <c r="AW11" i="112"/>
  <c r="AY11" i="112" s="1"/>
  <c r="BF11" i="112" s="1"/>
  <c r="K17" i="112"/>
  <c r="BA17" i="112" s="1"/>
  <c r="R17" i="112"/>
  <c r="AA17" i="112"/>
  <c r="AB17" i="112" s="1"/>
  <c r="AF17" i="112"/>
  <c r="AO17" i="112"/>
  <c r="AP17" i="112" s="1"/>
  <c r="AW17" i="112"/>
  <c r="AY17" i="112" s="1"/>
  <c r="K16" i="112"/>
  <c r="BA16" i="112" s="1"/>
  <c r="R16" i="112"/>
  <c r="AA16" i="112"/>
  <c r="AB16" i="112" s="1"/>
  <c r="AF16" i="112"/>
  <c r="AO16" i="112"/>
  <c r="AP16" i="112" s="1"/>
  <c r="AW16" i="112"/>
  <c r="AY16" i="112" s="1"/>
  <c r="AW12" i="112"/>
  <c r="AY12" i="112" s="1"/>
  <c r="AO12" i="112"/>
  <c r="AP12" i="112" s="1"/>
  <c r="AF12" i="112"/>
  <c r="AA12" i="112"/>
  <c r="AB12" i="112" s="1"/>
  <c r="R12" i="112"/>
  <c r="K12" i="112"/>
  <c r="BA12" i="112" s="1"/>
  <c r="AW23" i="112"/>
  <c r="AY23" i="112" s="1"/>
  <c r="AO23" i="112"/>
  <c r="AP23" i="112" s="1"/>
  <c r="AF23" i="112"/>
  <c r="AA23" i="112"/>
  <c r="AB23" i="112" s="1"/>
  <c r="R23" i="112"/>
  <c r="K23" i="112"/>
  <c r="BA23" i="112" s="1"/>
  <c r="AW25" i="112"/>
  <c r="AY25" i="112" s="1"/>
  <c r="AO25" i="112"/>
  <c r="AP25" i="112" s="1"/>
  <c r="AF25" i="112"/>
  <c r="AA25" i="112"/>
  <c r="AB25" i="112" s="1"/>
  <c r="R25" i="112"/>
  <c r="K25" i="112"/>
  <c r="BA25" i="112" s="1"/>
  <c r="AW21" i="112"/>
  <c r="AY21" i="112" s="1"/>
  <c r="AO21" i="112"/>
  <c r="AP21" i="112" s="1"/>
  <c r="AF21" i="112"/>
  <c r="AA21" i="112"/>
  <c r="AB21" i="112" s="1"/>
  <c r="R21" i="112"/>
  <c r="K21" i="112"/>
  <c r="BA21" i="112" s="1"/>
  <c r="AW24" i="112"/>
  <c r="AY24" i="112" s="1"/>
  <c r="AO24" i="112"/>
  <c r="AP24" i="112" s="1"/>
  <c r="AF24" i="112"/>
  <c r="AA24" i="112"/>
  <c r="AB24" i="112" s="1"/>
  <c r="R24" i="112"/>
  <c r="K24" i="112"/>
  <c r="BA24" i="112" s="1"/>
  <c r="AW19" i="112"/>
  <c r="AY19" i="112" s="1"/>
  <c r="AO19" i="112"/>
  <c r="AP19" i="112" s="1"/>
  <c r="AF19" i="112"/>
  <c r="AA19" i="112"/>
  <c r="AB19" i="112" s="1"/>
  <c r="R19" i="112"/>
  <c r="K19" i="112"/>
  <c r="BA19" i="112" s="1"/>
  <c r="AW15" i="112"/>
  <c r="AY15" i="112" s="1"/>
  <c r="AO15" i="112"/>
  <c r="AP15" i="112" s="1"/>
  <c r="AF15" i="112"/>
  <c r="AA15" i="112"/>
  <c r="AB15" i="112" s="1"/>
  <c r="R15" i="112"/>
  <c r="K15" i="112"/>
  <c r="BA15" i="112" s="1"/>
  <c r="AW13" i="112"/>
  <c r="AY13" i="112" s="1"/>
  <c r="AO13" i="112"/>
  <c r="AP13" i="112" s="1"/>
  <c r="AF13" i="112"/>
  <c r="AA13" i="112"/>
  <c r="AB13" i="112" s="1"/>
  <c r="R13" i="112"/>
  <c r="K13" i="112"/>
  <c r="BA13" i="112" s="1"/>
  <c r="AW22" i="112"/>
  <c r="AY22" i="112" s="1"/>
  <c r="AO22" i="112"/>
  <c r="AP22" i="112" s="1"/>
  <c r="AF22" i="112"/>
  <c r="AA22" i="112"/>
  <c r="AB22" i="112" s="1"/>
  <c r="R22" i="112"/>
  <c r="K22" i="112"/>
  <c r="BA22" i="112" s="1"/>
  <c r="AW18" i="112"/>
  <c r="AY18" i="112" s="1"/>
  <c r="AO18" i="112"/>
  <c r="AP18" i="112" s="1"/>
  <c r="AF18" i="112"/>
  <c r="AA18" i="112"/>
  <c r="AB18" i="112" s="1"/>
  <c r="R18" i="112"/>
  <c r="K18" i="112"/>
  <c r="BA18" i="112" s="1"/>
  <c r="AW14" i="112"/>
  <c r="AY14" i="112" s="1"/>
  <c r="AO14" i="112"/>
  <c r="AP14" i="112" s="1"/>
  <c r="AF14" i="112"/>
  <c r="AA14" i="112"/>
  <c r="AB14" i="112" s="1"/>
  <c r="R14" i="112"/>
  <c r="K14" i="112"/>
  <c r="BA14" i="112" s="1"/>
  <c r="BK16" i="127" l="1"/>
  <c r="BK15" i="127"/>
  <c r="BJ16" i="112"/>
  <c r="BJ17" i="112"/>
  <c r="BJ11" i="112"/>
  <c r="BH16" i="112"/>
  <c r="BH17" i="112"/>
  <c r="BH11" i="112"/>
  <c r="BH18" i="112"/>
  <c r="BH13" i="112"/>
  <c r="BH21" i="112"/>
  <c r="BH23" i="112"/>
  <c r="BJ14" i="112"/>
  <c r="BJ18" i="112"/>
  <c r="BJ22" i="112"/>
  <c r="BJ13" i="112"/>
  <c r="BJ15" i="112"/>
  <c r="BJ19" i="112"/>
  <c r="BJ24" i="112"/>
  <c r="BJ21" i="112"/>
  <c r="BJ25" i="112"/>
  <c r="BJ23" i="112"/>
  <c r="BJ12" i="112"/>
  <c r="BH22" i="112"/>
  <c r="BH15" i="112"/>
  <c r="BH12" i="112"/>
  <c r="BH14" i="112"/>
  <c r="BH19" i="112"/>
  <c r="BH24" i="112"/>
  <c r="BH25" i="112"/>
  <c r="AW16" i="47"/>
  <c r="AY16" i="47" s="1"/>
  <c r="AO16" i="47"/>
  <c r="AP16" i="47" s="1"/>
  <c r="AF16" i="47"/>
  <c r="AA16" i="47"/>
  <c r="AB16" i="47" s="1"/>
  <c r="R16" i="47"/>
  <c r="K16" i="47"/>
  <c r="AW17" i="47"/>
  <c r="AY17" i="47" s="1"/>
  <c r="AO17" i="47"/>
  <c r="AP17" i="47" s="1"/>
  <c r="AF17" i="47"/>
  <c r="AA17" i="47"/>
  <c r="AB17" i="47" s="1"/>
  <c r="BB17" i="47" s="1"/>
  <c r="R17" i="47"/>
  <c r="K17" i="47"/>
  <c r="AW13" i="47"/>
  <c r="AY13" i="47" s="1"/>
  <c r="AO13" i="47"/>
  <c r="AP13" i="47" s="1"/>
  <c r="AF13" i="47"/>
  <c r="AA13" i="47"/>
  <c r="AB13" i="47" s="1"/>
  <c r="R13" i="47"/>
  <c r="K13" i="47"/>
  <c r="AW11" i="47"/>
  <c r="AY11" i="47" s="1"/>
  <c r="AO11" i="47"/>
  <c r="AP11" i="47" s="1"/>
  <c r="AF11" i="47"/>
  <c r="AA11" i="47"/>
  <c r="AB11" i="47" s="1"/>
  <c r="BB11" i="47" s="1"/>
  <c r="R11" i="47"/>
  <c r="K11" i="47"/>
  <c r="AW12" i="47"/>
  <c r="AY12" i="47" s="1"/>
  <c r="AO12" i="47"/>
  <c r="AP12" i="47" s="1"/>
  <c r="AF12" i="47"/>
  <c r="AA12" i="47"/>
  <c r="AB12" i="47" s="1"/>
  <c r="R12" i="47"/>
  <c r="K12" i="47"/>
  <c r="AW14" i="47"/>
  <c r="AY14" i="47" s="1"/>
  <c r="AO14" i="47"/>
  <c r="AP14" i="47" s="1"/>
  <c r="AF14" i="47"/>
  <c r="AA14" i="47"/>
  <c r="AB14" i="47" s="1"/>
  <c r="BB14" i="47" s="1"/>
  <c r="R14" i="47"/>
  <c r="K14" i="47"/>
  <c r="AY11" i="96"/>
  <c r="BA11" i="96" s="1"/>
  <c r="AQ11" i="96"/>
  <c r="AR11" i="96" s="1"/>
  <c r="AG11" i="96"/>
  <c r="AB11" i="96"/>
  <c r="AC11" i="96" s="1"/>
  <c r="BD11" i="96" s="1"/>
  <c r="R11" i="96"/>
  <c r="K11" i="96"/>
  <c r="AY12" i="96"/>
  <c r="BA12" i="96" s="1"/>
  <c r="AQ12" i="96"/>
  <c r="AR12" i="96" s="1"/>
  <c r="AG12" i="96"/>
  <c r="AB12" i="96"/>
  <c r="AC12" i="96" s="1"/>
  <c r="R12" i="96"/>
  <c r="K12" i="96"/>
  <c r="AY14" i="96"/>
  <c r="BA14" i="96" s="1"/>
  <c r="AQ14" i="96"/>
  <c r="AR14" i="96" s="1"/>
  <c r="AG14" i="96"/>
  <c r="AB14" i="96"/>
  <c r="AC14" i="96" s="1"/>
  <c r="BD14" i="96" s="1"/>
  <c r="R14" i="96"/>
  <c r="K14" i="96"/>
  <c r="CB10" i="83"/>
  <c r="CO10" i="83" s="1"/>
  <c r="BR10" i="83"/>
  <c r="BT10" i="83" s="1"/>
  <c r="CK10" i="83" s="1"/>
  <c r="BJ10" i="83"/>
  <c r="BK10" i="83" s="1"/>
  <c r="CF10" i="83" s="1"/>
  <c r="AX10" i="83"/>
  <c r="AZ10" i="83" s="1"/>
  <c r="CN10" i="83" s="1"/>
  <c r="AQ10" i="83"/>
  <c r="AS10" i="83" s="1"/>
  <c r="AT10" i="83" s="1"/>
  <c r="CJ10" i="83" s="1"/>
  <c r="AI10" i="83"/>
  <c r="AJ10" i="83" s="1"/>
  <c r="CE10" i="83" s="1"/>
  <c r="Y10" i="83"/>
  <c r="R10" i="83"/>
  <c r="CI10" i="83" s="1"/>
  <c r="K10" i="83"/>
  <c r="BD16" i="47" l="1"/>
  <c r="BB13" i="47"/>
  <c r="BB12" i="47"/>
  <c r="BL17" i="112"/>
  <c r="BL14" i="112"/>
  <c r="BE11" i="96"/>
  <c r="BH11" i="96"/>
  <c r="BF11" i="96"/>
  <c r="BH12" i="96"/>
  <c r="BE12" i="96"/>
  <c r="BD12" i="96"/>
  <c r="BC12" i="96"/>
  <c r="BE14" i="96"/>
  <c r="BH14" i="96"/>
  <c r="CR10" i="83"/>
  <c r="CG10" i="83" s="1"/>
  <c r="BL22" i="112"/>
  <c r="BL25" i="112"/>
  <c r="BL11" i="112"/>
  <c r="BL16" i="112"/>
  <c r="BL21" i="112"/>
  <c r="BL24" i="112"/>
  <c r="BL12" i="112"/>
  <c r="BL13" i="112"/>
  <c r="BL23" i="112"/>
  <c r="BL19" i="112"/>
  <c r="BL15" i="112"/>
  <c r="BL18" i="112"/>
  <c r="BD12" i="47"/>
  <c r="BD11" i="47"/>
  <c r="BD13" i="47"/>
  <c r="BD17" i="47"/>
  <c r="BC16" i="47"/>
  <c r="BF12" i="47"/>
  <c r="BC12" i="47"/>
  <c r="BF11" i="47"/>
  <c r="BC11" i="47"/>
  <c r="BF13" i="47"/>
  <c r="BC13" i="47"/>
  <c r="BF17" i="47"/>
  <c r="BC17" i="47"/>
  <c r="BF16" i="47"/>
  <c r="BH16" i="47" s="1"/>
  <c r="BB16" i="47"/>
  <c r="BA12" i="47"/>
  <c r="BA11" i="47"/>
  <c r="BA13" i="47"/>
  <c r="BA17" i="47"/>
  <c r="BA16" i="47"/>
  <c r="BA14" i="47"/>
  <c r="BC14" i="47"/>
  <c r="BF14" i="47"/>
  <c r="BD14" i="47"/>
  <c r="BF14" i="96"/>
  <c r="BF12" i="96"/>
  <c r="BJ12" i="96" s="1"/>
  <c r="BC14" i="96"/>
  <c r="BC11" i="96"/>
  <c r="CV10" i="83"/>
  <c r="CM10" i="83"/>
  <c r="CT10" i="83"/>
  <c r="CD10" i="83"/>
  <c r="L32" i="102"/>
  <c r="AG31" i="102"/>
  <c r="V31" i="102"/>
  <c r="AG30" i="102"/>
  <c r="V30" i="102"/>
  <c r="AG29" i="102"/>
  <c r="V29" i="102"/>
  <c r="AG28" i="102"/>
  <c r="V28" i="102"/>
  <c r="AG27" i="102"/>
  <c r="V27" i="102"/>
  <c r="AG26" i="102"/>
  <c r="V26" i="102"/>
  <c r="L25" i="102"/>
  <c r="AG24" i="102"/>
  <c r="V24" i="102"/>
  <c r="AG23" i="102"/>
  <c r="V23" i="102"/>
  <c r="AG22" i="102"/>
  <c r="V22" i="102"/>
  <c r="AG21" i="102"/>
  <c r="V21" i="102"/>
  <c r="AG20" i="102"/>
  <c r="V20" i="102"/>
  <c r="AG19" i="102"/>
  <c r="V19" i="102"/>
  <c r="L39" i="102"/>
  <c r="AG38" i="102"/>
  <c r="V38" i="102"/>
  <c r="AG37" i="102"/>
  <c r="V37" i="102"/>
  <c r="AG36" i="102"/>
  <c r="V36" i="102"/>
  <c r="AG35" i="102"/>
  <c r="V35" i="102"/>
  <c r="AG34" i="102"/>
  <c r="V34" i="102"/>
  <c r="AG33" i="102"/>
  <c r="V33" i="102"/>
  <c r="L18" i="102"/>
  <c r="AG17" i="102"/>
  <c r="V17" i="102"/>
  <c r="AG16" i="102"/>
  <c r="V16" i="102"/>
  <c r="AG15" i="102"/>
  <c r="V15" i="102"/>
  <c r="AG14" i="102"/>
  <c r="V14" i="102"/>
  <c r="AG13" i="102"/>
  <c r="V13" i="102"/>
  <c r="AG12" i="102"/>
  <c r="V12" i="102"/>
  <c r="Z7" i="102"/>
  <c r="O7" i="102"/>
  <c r="H7" i="102"/>
  <c r="A3" i="102"/>
  <c r="A1" i="102"/>
  <c r="CX10" i="83" l="1"/>
  <c r="CL10" i="83"/>
  <c r="BM11" i="112"/>
  <c r="BM13" i="112"/>
  <c r="BM16" i="112"/>
  <c r="BM14" i="112"/>
  <c r="BM12" i="112"/>
  <c r="BM15" i="112"/>
  <c r="BJ11" i="96"/>
  <c r="BJ14" i="96"/>
  <c r="V32" i="102"/>
  <c r="W32" i="102" s="1"/>
  <c r="AG32" i="102"/>
  <c r="AH32" i="102" s="1"/>
  <c r="V39" i="102"/>
  <c r="W39" i="102" s="1"/>
  <c r="BH13" i="47"/>
  <c r="BH14" i="47"/>
  <c r="BH11" i="47"/>
  <c r="BH12" i="47"/>
  <c r="BH17" i="47"/>
  <c r="V25" i="102"/>
  <c r="W25" i="102" s="1"/>
  <c r="AG25" i="102"/>
  <c r="AH25" i="102" s="1"/>
  <c r="V18" i="102"/>
  <c r="W18" i="102" s="1"/>
  <c r="AG39" i="102"/>
  <c r="AH39" i="102" s="1"/>
  <c r="AG18" i="102"/>
  <c r="AH18" i="102" s="1"/>
  <c r="W25" i="129"/>
  <c r="P25" i="129"/>
  <c r="L25" i="129"/>
  <c r="AB25" i="129" l="1"/>
  <c r="AM32" i="102"/>
  <c r="AM25" i="102"/>
  <c r="AM39" i="102"/>
  <c r="AM18" i="102"/>
  <c r="L25" i="130"/>
  <c r="AH25" i="130" s="1"/>
  <c r="AE24" i="130"/>
  <c r="U24" i="130"/>
  <c r="AE23" i="130"/>
  <c r="U23" i="130"/>
  <c r="AE22" i="130"/>
  <c r="U22" i="130"/>
  <c r="AE21" i="130"/>
  <c r="U21" i="130"/>
  <c r="AE20" i="130"/>
  <c r="U20" i="130"/>
  <c r="AE19" i="130"/>
  <c r="U19" i="130"/>
  <c r="L18" i="130"/>
  <c r="AE17" i="130"/>
  <c r="U17" i="130"/>
  <c r="AE16" i="130"/>
  <c r="U16" i="130"/>
  <c r="AE15" i="130"/>
  <c r="U15" i="130"/>
  <c r="AE14" i="130"/>
  <c r="U14" i="130"/>
  <c r="AE13" i="130"/>
  <c r="U13" i="130"/>
  <c r="AE12" i="130"/>
  <c r="U12" i="130"/>
  <c r="Y7" i="130"/>
  <c r="O7" i="130"/>
  <c r="H7" i="130"/>
  <c r="A3" i="130"/>
  <c r="A1" i="130"/>
  <c r="W32" i="129"/>
  <c r="P32" i="129"/>
  <c r="Z32" i="129" s="1"/>
  <c r="L32" i="129"/>
  <c r="A1" i="129"/>
  <c r="AH18" i="130" l="1"/>
  <c r="U18" i="130"/>
  <c r="V18" i="130" s="1"/>
  <c r="AI18" i="130" s="1"/>
  <c r="AE25" i="130"/>
  <c r="AF25" i="130" s="1"/>
  <c r="AJ25" i="130" s="1"/>
  <c r="AE18" i="130"/>
  <c r="AF18" i="130" s="1"/>
  <c r="AJ18" i="130" s="1"/>
  <c r="U25" i="130"/>
  <c r="V25" i="130" s="1"/>
  <c r="AI25" i="130" s="1"/>
  <c r="AB32" i="129"/>
  <c r="AL18" i="130" l="1"/>
  <c r="AL25" i="130"/>
  <c r="W18" i="129"/>
  <c r="P18" i="129"/>
  <c r="L18" i="129"/>
  <c r="A3" i="129"/>
  <c r="AB18" i="129" l="1"/>
  <c r="AY16" i="121"/>
  <c r="BA16" i="121" s="1"/>
  <c r="AQ16" i="121"/>
  <c r="AR16" i="121" s="1"/>
  <c r="AG16" i="121"/>
  <c r="AB16" i="121"/>
  <c r="AC16" i="121" s="1"/>
  <c r="R16" i="121"/>
  <c r="K16" i="121"/>
  <c r="AY13" i="121"/>
  <c r="BA13" i="121" s="1"/>
  <c r="AQ13" i="121"/>
  <c r="AR13" i="121" s="1"/>
  <c r="AG13" i="121"/>
  <c r="AB13" i="121"/>
  <c r="AC13" i="121" s="1"/>
  <c r="R13" i="121"/>
  <c r="K13" i="121"/>
  <c r="AY17" i="121"/>
  <c r="BA17" i="121" s="1"/>
  <c r="AQ17" i="121"/>
  <c r="AR17" i="121" s="1"/>
  <c r="AG17" i="121"/>
  <c r="AB17" i="121"/>
  <c r="AC17" i="121" s="1"/>
  <c r="R17" i="121"/>
  <c r="K17" i="121"/>
  <c r="AY18" i="121"/>
  <c r="BA18" i="121" s="1"/>
  <c r="AQ18" i="121"/>
  <c r="AR18" i="121" s="1"/>
  <c r="AG18" i="121"/>
  <c r="AB18" i="121"/>
  <c r="AC18" i="121" s="1"/>
  <c r="R18" i="121"/>
  <c r="K18" i="121"/>
  <c r="AY14" i="121"/>
  <c r="BA14" i="121" s="1"/>
  <c r="AQ14" i="121"/>
  <c r="AR14" i="121" s="1"/>
  <c r="AG14" i="121"/>
  <c r="AB14" i="121"/>
  <c r="AC14" i="121" s="1"/>
  <c r="R14" i="121"/>
  <c r="K14" i="121"/>
  <c r="AY15" i="121"/>
  <c r="BA15" i="121" s="1"/>
  <c r="AQ15" i="121"/>
  <c r="AR15" i="121" s="1"/>
  <c r="AG15" i="121"/>
  <c r="AB15" i="121"/>
  <c r="AC15" i="121" s="1"/>
  <c r="R15" i="121"/>
  <c r="K15" i="121"/>
  <c r="AY11" i="121"/>
  <c r="BA11" i="121" s="1"/>
  <c r="AQ11" i="121"/>
  <c r="AR11" i="121" s="1"/>
  <c r="AG11" i="121"/>
  <c r="AB11" i="121"/>
  <c r="AC11" i="121" s="1"/>
  <c r="R11" i="121"/>
  <c r="K11" i="121"/>
  <c r="AY19" i="128"/>
  <c r="BA19" i="128" s="1"/>
  <c r="AQ19" i="128"/>
  <c r="AR19" i="128" s="1"/>
  <c r="AG19" i="128"/>
  <c r="AB19" i="128"/>
  <c r="AC19" i="128" s="1"/>
  <c r="R19" i="128"/>
  <c r="K19" i="128"/>
  <c r="AU6" i="128"/>
  <c r="AJ6" i="128"/>
  <c r="AF6" i="128"/>
  <c r="U6" i="128"/>
  <c r="N6" i="128"/>
  <c r="G6" i="128"/>
  <c r="A3" i="128"/>
  <c r="BK2" i="128"/>
  <c r="BK1" i="128"/>
  <c r="A1" i="128"/>
  <c r="AU6" i="127"/>
  <c r="AJ6" i="127"/>
  <c r="AF6" i="127"/>
  <c r="U6" i="127"/>
  <c r="N6" i="127"/>
  <c r="G6" i="127"/>
  <c r="A3" i="127"/>
  <c r="BK2" i="127"/>
  <c r="BK1" i="127"/>
  <c r="A1" i="127"/>
  <c r="A1" i="121"/>
  <c r="BF14" i="121" l="1"/>
  <c r="BC15" i="121"/>
  <c r="BC17" i="121"/>
  <c r="BD18" i="121"/>
  <c r="BC18" i="121"/>
  <c r="BE15" i="121"/>
  <c r="BD15" i="121"/>
  <c r="BC13" i="121"/>
  <c r="BD19" i="128"/>
  <c r="BE13" i="121"/>
  <c r="BH16" i="121"/>
  <c r="BC11" i="121"/>
  <c r="BE11" i="121"/>
  <c r="BH15" i="121"/>
  <c r="BD14" i="121"/>
  <c r="BE17" i="121"/>
  <c r="BH13" i="121"/>
  <c r="BD16" i="121"/>
  <c r="BH14" i="121"/>
  <c r="BH11" i="121"/>
  <c r="BE18" i="121"/>
  <c r="BH17" i="121"/>
  <c r="BD13" i="121"/>
  <c r="BD11" i="121"/>
  <c r="BC14" i="121"/>
  <c r="BE14" i="121"/>
  <c r="BH18" i="121"/>
  <c r="BD17" i="121"/>
  <c r="BC16" i="121"/>
  <c r="BE16" i="121"/>
  <c r="BE19" i="128"/>
  <c r="BH19" i="128"/>
  <c r="BC19" i="128"/>
  <c r="BF11" i="121"/>
  <c r="BF15" i="121"/>
  <c r="BF18" i="121"/>
  <c r="BF17" i="121"/>
  <c r="BF13" i="121"/>
  <c r="BF16" i="121"/>
  <c r="BF19" i="128"/>
  <c r="BJ16" i="121" l="1"/>
  <c r="BJ11" i="121"/>
  <c r="BJ14" i="121"/>
  <c r="BJ15" i="121"/>
  <c r="BJ17" i="121"/>
  <c r="BJ18" i="121"/>
  <c r="BJ13" i="121"/>
  <c r="BJ19" i="128"/>
  <c r="BK15" i="128" l="1"/>
  <c r="BK13" i="128"/>
  <c r="BK14" i="128"/>
  <c r="BK16" i="128"/>
  <c r="BK11" i="128"/>
  <c r="BK12" i="128"/>
  <c r="AN12" i="125"/>
  <c r="AP12" i="125" s="1"/>
  <c r="CG12" i="125" s="1"/>
  <c r="A3" i="125"/>
  <c r="A1" i="125"/>
  <c r="AQ11" i="83"/>
  <c r="AS11" i="83" s="1"/>
  <c r="BN12" i="125"/>
  <c r="BP12" i="125" s="1"/>
  <c r="CH12" i="125" s="1"/>
  <c r="BF12" i="125"/>
  <c r="BG12" i="125" s="1"/>
  <c r="CC12" i="125" s="1"/>
  <c r="AI12" i="125"/>
  <c r="AJ12" i="125" s="1"/>
  <c r="CB12" i="125" s="1"/>
  <c r="R12" i="125"/>
  <c r="K12" i="125"/>
  <c r="AY6" i="125"/>
  <c r="AB6" i="125"/>
  <c r="G6" i="125"/>
  <c r="CT2" i="125"/>
  <c r="CT1" i="125"/>
  <c r="CQ12" i="125" l="1"/>
  <c r="CP12" i="125"/>
  <c r="CD12" i="125" s="1"/>
  <c r="CF12" i="125"/>
  <c r="CA12" i="125"/>
  <c r="CI12" i="125" l="1"/>
  <c r="CS12" i="125"/>
  <c r="CT12" i="125" s="1"/>
  <c r="CT16" i="125"/>
  <c r="CT13" i="125"/>
  <c r="BR11" i="83"/>
  <c r="CT14" i="125" l="1"/>
  <c r="CT11" i="125"/>
  <c r="CT15" i="125"/>
  <c r="W19" i="124"/>
  <c r="Y19" i="124" s="1"/>
  <c r="AC19" i="124" s="1"/>
  <c r="P19" i="124"/>
  <c r="AB19" i="124" s="1"/>
  <c r="L19" i="124"/>
  <c r="AA19" i="124" s="1"/>
  <c r="S5" i="124"/>
  <c r="O5" i="124"/>
  <c r="H5" i="124"/>
  <c r="A3" i="124"/>
  <c r="AE2" i="124"/>
  <c r="AE1" i="124"/>
  <c r="A1" i="124"/>
  <c r="AW15" i="47"/>
  <c r="AY15" i="47" s="1"/>
  <c r="AO15" i="47"/>
  <c r="AP15" i="47" s="1"/>
  <c r="AF15" i="47"/>
  <c r="AA15" i="47"/>
  <c r="AB15" i="47" s="1"/>
  <c r="R15" i="47"/>
  <c r="K15" i="47"/>
  <c r="AY12" i="121"/>
  <c r="BA12" i="121" s="1"/>
  <c r="AQ12" i="121"/>
  <c r="AR12" i="121" s="1"/>
  <c r="AG12" i="121"/>
  <c r="AB12" i="121"/>
  <c r="AC12" i="121" s="1"/>
  <c r="BD12" i="121" s="1"/>
  <c r="R12" i="121"/>
  <c r="K12" i="121"/>
  <c r="AU6" i="121"/>
  <c r="AJ6" i="121"/>
  <c r="AF6" i="121"/>
  <c r="U6" i="121"/>
  <c r="N6" i="121"/>
  <c r="G6" i="121"/>
  <c r="A3" i="121"/>
  <c r="BK2" i="121"/>
  <c r="BK1" i="121"/>
  <c r="AY13" i="96"/>
  <c r="BA13" i="96" s="1"/>
  <c r="AQ13" i="96"/>
  <c r="AR13" i="96" s="1"/>
  <c r="AG13" i="96"/>
  <c r="AB13" i="96"/>
  <c r="AC13" i="96" s="1"/>
  <c r="R13" i="96"/>
  <c r="K13" i="96"/>
  <c r="BC15" i="47" l="1"/>
  <c r="BF15" i="47"/>
  <c r="BA15" i="47"/>
  <c r="BH13" i="96"/>
  <c r="BC13" i="96"/>
  <c r="BH12" i="121"/>
  <c r="BE13" i="96"/>
  <c r="BD13" i="96"/>
  <c r="BC12" i="121"/>
  <c r="BF12" i="121"/>
  <c r="BE12" i="121"/>
  <c r="BB15" i="47"/>
  <c r="AD19" i="124"/>
  <c r="BD15" i="47"/>
  <c r="BF13" i="96"/>
  <c r="BH15" i="47" l="1"/>
  <c r="BJ12" i="121"/>
  <c r="BJ13" i="96"/>
  <c r="BI14" i="47" l="1"/>
  <c r="BI13" i="47"/>
  <c r="BI15" i="47"/>
  <c r="BI11" i="47"/>
  <c r="BI12" i="47"/>
  <c r="BI16" i="47"/>
  <c r="BK13" i="96"/>
  <c r="BK14" i="96"/>
  <c r="BK11" i="96"/>
  <c r="BK12" i="96"/>
  <c r="BK12" i="121"/>
  <c r="BK15" i="121"/>
  <c r="BK13" i="121"/>
  <c r="BK16" i="121"/>
  <c r="BK14" i="121"/>
  <c r="BK11" i="121"/>
  <c r="CB11" i="83"/>
  <c r="CO11" i="83" s="1"/>
  <c r="BT11" i="83"/>
  <c r="CK11" i="83" s="1"/>
  <c r="BJ11" i="83"/>
  <c r="BK11" i="83" s="1"/>
  <c r="CF11" i="83" s="1"/>
  <c r="AX11" i="83"/>
  <c r="AZ11" i="83" s="1"/>
  <c r="CN11" i="83" s="1"/>
  <c r="AT11" i="83"/>
  <c r="CJ11" i="83" s="1"/>
  <c r="AI11" i="83"/>
  <c r="AJ11" i="83" s="1"/>
  <c r="CE11" i="83" s="1"/>
  <c r="Y11" i="83"/>
  <c r="R11" i="83"/>
  <c r="K11" i="83"/>
  <c r="CR11" i="83" l="1"/>
  <c r="CG11" i="83" s="1"/>
  <c r="CD11" i="83"/>
  <c r="CM11" i="83"/>
  <c r="CV11" i="83"/>
  <c r="CP11" i="83" s="1"/>
  <c r="CT11" i="83"/>
  <c r="CL11" i="83" s="1"/>
  <c r="CI11" i="83"/>
  <c r="BC5" i="83"/>
  <c r="CX11" i="83" l="1"/>
  <c r="N6" i="47" l="1"/>
  <c r="N6" i="96"/>
  <c r="G6" i="47"/>
  <c r="G6" i="96"/>
  <c r="AU6" i="96" l="1"/>
  <c r="AJ6" i="96"/>
  <c r="AF6" i="96"/>
  <c r="U6" i="96"/>
  <c r="AS6" i="47"/>
  <c r="AI6" i="47"/>
  <c r="AE6" i="47"/>
  <c r="U6" i="47"/>
  <c r="A3" i="83" l="1"/>
  <c r="A1" i="83"/>
  <c r="A3" i="96" l="1"/>
  <c r="A1" i="96"/>
  <c r="A3" i="47"/>
  <c r="A1" i="47"/>
  <c r="A3" i="112"/>
  <c r="A1" i="112"/>
  <c r="BM2" i="112"/>
  <c r="BM1" i="112"/>
  <c r="BK2" i="96" l="1"/>
  <c r="BK1" i="96"/>
  <c r="BI2" i="47" l="1"/>
  <c r="BI1" i="47"/>
  <c r="CY2" i="83"/>
  <c r="CY1" i="83"/>
</calcChain>
</file>

<file path=xl/sharedStrings.xml><?xml version="1.0" encoding="utf-8"?>
<sst xmlns="http://schemas.openxmlformats.org/spreadsheetml/2006/main" count="1763" uniqueCount="295">
  <si>
    <t>Judges</t>
    <phoneticPr fontId="28" type="noConversion"/>
  </si>
  <si>
    <r>
      <t>Open</t>
    </r>
    <r>
      <rPr>
        <b/>
        <sz val="12"/>
        <rFont val="Calibri"/>
        <family val="2"/>
        <scheme val="minor"/>
      </rPr>
      <t xml:space="preserve"> Individual</t>
    </r>
    <phoneticPr fontId="28" type="noConversion"/>
  </si>
  <si>
    <t>Mill</t>
    <phoneticPr fontId="28" type="noConversion"/>
  </si>
  <si>
    <t>Stand</t>
    <phoneticPr fontId="28" type="noConversion"/>
  </si>
  <si>
    <t>Flank1</t>
    <phoneticPr fontId="28" type="noConversion"/>
  </si>
  <si>
    <t>Flank2</t>
    <phoneticPr fontId="28" type="noConversion"/>
  </si>
  <si>
    <t>DoD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</si>
  <si>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</si>
  <si>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</si>
  <si>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</si>
  <si>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</si>
  <si>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</si>
  <si>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</si>
  <si>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</si>
  <si>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</si>
  <si>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</si>
  <si>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</si>
  <si>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Comp</t>
  </si>
  <si>
    <t>falls</t>
  </si>
  <si>
    <t>Deduct</t>
  </si>
  <si>
    <t>FREESTYLE</t>
  </si>
  <si>
    <t>Final Scores</t>
  </si>
  <si>
    <t>Technique</t>
  </si>
  <si>
    <t>Artistic</t>
  </si>
  <si>
    <t>Final</t>
  </si>
  <si>
    <t>Div. by</t>
  </si>
  <si>
    <t>1/2 Fl</t>
  </si>
  <si>
    <t>V'lt Off</t>
  </si>
  <si>
    <t>No&amp;Ex</t>
  </si>
  <si>
    <t>Sub-total</t>
  </si>
  <si>
    <t>Deductions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</si>
  <si>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</si>
  <si>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</si>
  <si>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</si>
  <si>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</si>
  <si>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</si>
  <si>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</si>
  <si>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</si>
  <si>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</si>
  <si>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</si>
  <si>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</si>
  <si>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</si>
  <si>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</si>
  <si>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</si>
  <si>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</si>
  <si>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</si>
  <si>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</si>
  <si>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</si>
  <si>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</si>
  <si>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</si>
  <si>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</si>
  <si>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</si>
  <si>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Sw fw</t>
  </si>
  <si>
    <t>1/2 Mill</t>
  </si>
  <si>
    <t>Sw bw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</si>
  <si>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</si>
  <si>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</si>
  <si>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</si>
  <si>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</si>
  <si>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</si>
  <si>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</si>
  <si>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</si>
  <si>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</si>
  <si>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</si>
  <si>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</si>
  <si>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PDD</t>
  </si>
  <si>
    <t>Club/Team</t>
  </si>
  <si>
    <t>PreNovice</t>
  </si>
  <si>
    <t>Tech</t>
  </si>
  <si>
    <t>Plank</t>
  </si>
  <si>
    <t>Dism't</t>
  </si>
  <si>
    <t>D'm't</t>
  </si>
  <si>
    <t>Flank</t>
  </si>
  <si>
    <t>I's S</t>
  </si>
  <si>
    <t>O's S</t>
  </si>
  <si>
    <t>TECH TEST</t>
  </si>
  <si>
    <t>Ded</t>
  </si>
  <si>
    <t>Tech Test</t>
  </si>
  <si>
    <t>F/Sw</t>
  </si>
  <si>
    <t>1/2 mill</t>
  </si>
  <si>
    <t>Falls</t>
  </si>
  <si>
    <r>
      <t>Intermediate</t>
    </r>
    <r>
      <rPr>
        <b/>
        <sz val="11"/>
        <rFont val="Calibri"/>
        <family val="2"/>
        <scheme val="minor"/>
      </rPr>
      <t xml:space="preserve"> Individual</t>
    </r>
  </si>
  <si>
    <t>B/Sw</t>
  </si>
  <si>
    <t>I/S Seat</t>
  </si>
  <si>
    <t>O/S Seat</t>
  </si>
  <si>
    <t>O/S</t>
  </si>
  <si>
    <t xml:space="preserve"> </t>
  </si>
  <si>
    <t>Walk A</t>
  </si>
  <si>
    <t>T1</t>
  </si>
  <si>
    <t>T2</t>
  </si>
  <si>
    <t>T3</t>
  </si>
  <si>
    <t>Shoot-up</t>
  </si>
  <si>
    <t>C Roll</t>
  </si>
  <si>
    <t>S/split</t>
  </si>
  <si>
    <t>Kn fwd</t>
  </si>
  <si>
    <t>Push-up</t>
  </si>
  <si>
    <t>Judges</t>
    <phoneticPr fontId="0" type="noConversion"/>
  </si>
  <si>
    <t>Advanced Individual</t>
    <phoneticPr fontId="0" type="noConversion"/>
  </si>
  <si>
    <t>Mill</t>
    <phoneticPr fontId="0" type="noConversion"/>
  </si>
  <si>
    <t>Stand</t>
    <phoneticPr fontId="0" type="noConversion"/>
  </si>
  <si>
    <t>Flank</t>
    <phoneticPr fontId="0" type="noConversion"/>
  </si>
  <si>
    <t>A</t>
  </si>
  <si>
    <t>B</t>
  </si>
  <si>
    <t>C</t>
  </si>
  <si>
    <t>NSW State Championships</t>
  </si>
  <si>
    <t>June 9 to 11 2018</t>
  </si>
  <si>
    <t>Kaitlyn Jones</t>
  </si>
  <si>
    <t>Baiberraley Rules</t>
  </si>
  <si>
    <t>Karen Mitchell</t>
  </si>
  <si>
    <t>Capriole</t>
  </si>
  <si>
    <t>Jett Newman</t>
  </si>
  <si>
    <t>Lateisha Hutchings</t>
  </si>
  <si>
    <t>Aysha Pietersz</t>
  </si>
  <si>
    <t>Kallie Hasselmann</t>
  </si>
  <si>
    <t>Kamilaroi Yorkshire</t>
  </si>
  <si>
    <t>Dodi Rogan</t>
  </si>
  <si>
    <t>Equiste</t>
  </si>
  <si>
    <t>Zoe Nelson</t>
  </si>
  <si>
    <t>Kerrabee Ottoman</t>
  </si>
  <si>
    <t>Mei Davey</t>
  </si>
  <si>
    <t>NEQC</t>
  </si>
  <si>
    <t>Lily Steinman</t>
  </si>
  <si>
    <t>Isabelle Steinman</t>
  </si>
  <si>
    <t>REV</t>
  </si>
  <si>
    <t>Rebecca Higgins</t>
  </si>
  <si>
    <t>Hope Beetson</t>
  </si>
  <si>
    <t>Sarah Grayson</t>
  </si>
  <si>
    <t>Bronagh Miskelly</t>
  </si>
  <si>
    <t>Erin Ryan</t>
  </si>
  <si>
    <t>Caitlin Fraser</t>
  </si>
  <si>
    <t>Kingston Legato</t>
  </si>
  <si>
    <t>Lyn Lynch</t>
  </si>
  <si>
    <t>SVG</t>
  </si>
  <si>
    <t>Phillip Ritter</t>
  </si>
  <si>
    <t>Nicole Collett</t>
  </si>
  <si>
    <t>Tegan Davis</t>
  </si>
  <si>
    <t>Elyssa O'Hanlon</t>
  </si>
  <si>
    <t>Nicole Connor</t>
  </si>
  <si>
    <t>Jamie Haste</t>
  </si>
  <si>
    <t>Hunterview Sinatra</t>
  </si>
  <si>
    <t>Robyn Boyle</t>
  </si>
  <si>
    <t>SEVT</t>
  </si>
  <si>
    <t>Independent</t>
  </si>
  <si>
    <t>Sequiste</t>
  </si>
  <si>
    <t>Judges</t>
  </si>
  <si>
    <t>Sabine Osmotherly</t>
  </si>
  <si>
    <t>Eloise Tate</t>
  </si>
  <si>
    <t>Bronte Fletcher</t>
  </si>
  <si>
    <t>Martine Fogg</t>
  </si>
  <si>
    <t>Lydia George</t>
  </si>
  <si>
    <t>Poppy Loveland</t>
  </si>
  <si>
    <t>Benbaloo</t>
  </si>
  <si>
    <t>Sharna Kirkham</t>
  </si>
  <si>
    <t xml:space="preserve">Hunter Valley </t>
  </si>
  <si>
    <t>Christine Lawrence</t>
  </si>
  <si>
    <t>Sarah Grayson     R</t>
  </si>
  <si>
    <t>Saulo</t>
  </si>
  <si>
    <t>Lucia Rogan</t>
  </si>
  <si>
    <t>Madelaine O'Hare</t>
  </si>
  <si>
    <t>Shay Newman</t>
  </si>
  <si>
    <t>Trista Mitchell</t>
  </si>
  <si>
    <t>Violet Levett</t>
  </si>
  <si>
    <t>Tmiah Hutchings   R</t>
  </si>
  <si>
    <t>Peyton Halloran</t>
  </si>
  <si>
    <t>Daytona Halloran</t>
  </si>
  <si>
    <t>Sarah Clark</t>
  </si>
  <si>
    <t>Charlotte Clark</t>
  </si>
  <si>
    <t>Grace Pratley</t>
  </si>
  <si>
    <t>Relish</t>
  </si>
  <si>
    <t>Melinda Osborn</t>
  </si>
  <si>
    <t>Sienna Ardis</t>
  </si>
  <si>
    <t>Fleur Sykes</t>
  </si>
  <si>
    <t>Madison Foster</t>
  </si>
  <si>
    <t>Charlotte Foster</t>
  </si>
  <si>
    <t>Ivy Sykes</t>
  </si>
  <si>
    <t>Now Noah</t>
  </si>
  <si>
    <t>Gina Sykes</t>
  </si>
  <si>
    <t>Bathurst &amp; District</t>
  </si>
  <si>
    <t>Steph Dore</t>
  </si>
  <si>
    <t>Donati 3</t>
  </si>
  <si>
    <t>Georgie Kennett</t>
  </si>
  <si>
    <t>Wellington Park</t>
  </si>
  <si>
    <t>Ella Fin</t>
  </si>
  <si>
    <t>EP Morgan</t>
  </si>
  <si>
    <t>Kerri Wilson</t>
  </si>
  <si>
    <t>SHVT</t>
  </si>
  <si>
    <t>Lauren Steinman</t>
  </si>
  <si>
    <t>Tep Connor</t>
  </si>
  <si>
    <t>Karen Ford</t>
  </si>
  <si>
    <t>Zoe Caddis</t>
  </si>
  <si>
    <t>Serendipity Scarlet</t>
  </si>
  <si>
    <t>Breanna Trappel</t>
  </si>
  <si>
    <t>Splendido</t>
  </si>
  <si>
    <t>Gillian Burns</t>
  </si>
  <si>
    <t>Naomi Yamaguchi</t>
  </si>
  <si>
    <t>Lili Tamai</t>
  </si>
  <si>
    <t>Kingfisher, QLD</t>
  </si>
  <si>
    <t>Tuffrock Cruise</t>
  </si>
  <si>
    <t>Comic Symphony</t>
  </si>
  <si>
    <t>Tristyn Lowe</t>
  </si>
  <si>
    <t>Luka Linden</t>
  </si>
  <si>
    <t>Ceridwen Fenemore</t>
  </si>
  <si>
    <t>Anna Schindler</t>
  </si>
  <si>
    <t>MP Excalibur</t>
  </si>
  <si>
    <t>Sally Paragalli</t>
  </si>
  <si>
    <t>Lauren Ford</t>
  </si>
  <si>
    <t>Isla McGregor</t>
  </si>
  <si>
    <t>Elyse Macdonald</t>
  </si>
  <si>
    <t>Claire Stevens     HC</t>
  </si>
  <si>
    <t>Kingfisher</t>
  </si>
  <si>
    <t>Jack Macdonald</t>
  </si>
  <si>
    <t>Megan Nicholson</t>
  </si>
  <si>
    <t>Byron Macdonald</t>
  </si>
  <si>
    <t>Tmiah Hutchings</t>
  </si>
  <si>
    <t>Ginger Kennett</t>
  </si>
  <si>
    <t>Isabella Napthali</t>
  </si>
  <si>
    <t>FREESTYLE ROUND 1</t>
  </si>
  <si>
    <t>FREESTYLE ROUND 2</t>
  </si>
  <si>
    <t>FREESTYLE R1</t>
  </si>
  <si>
    <t>FREESTYLE R2</t>
  </si>
  <si>
    <t>Free 1</t>
  </si>
  <si>
    <t>Hunter Valley</t>
  </si>
  <si>
    <t>SQUAD - BARREL</t>
  </si>
  <si>
    <t>Claire Stevens</t>
  </si>
  <si>
    <t>Lily Tamai</t>
  </si>
  <si>
    <t xml:space="preserve">Isabella Napthali </t>
  </si>
  <si>
    <t>Ella Finn</t>
  </si>
  <si>
    <t xml:space="preserve">Ceridwen Fenemore </t>
  </si>
  <si>
    <t>PDD  Barrel B</t>
  </si>
  <si>
    <t>PDD  Barrel A</t>
  </si>
  <si>
    <t>Lungers Master - Canter</t>
  </si>
  <si>
    <t>Lungers Master - Walk</t>
  </si>
  <si>
    <t>Mr Boots</t>
  </si>
  <si>
    <t>Noelene Davis</t>
  </si>
  <si>
    <t>6/4C</t>
  </si>
  <si>
    <t>7/5C</t>
  </si>
  <si>
    <t>8/6C</t>
  </si>
  <si>
    <t>14/11J</t>
  </si>
  <si>
    <t>15/11J</t>
  </si>
  <si>
    <t>SQUAD - NOVICE COMPULSORIES</t>
  </si>
  <si>
    <t>18/23A</t>
  </si>
  <si>
    <t>SQUAD - NOVICE FREESTYLE</t>
  </si>
  <si>
    <t>1/1F</t>
  </si>
  <si>
    <t>5/3C</t>
  </si>
  <si>
    <t>Class 9/43</t>
  </si>
  <si>
    <t>Class 10/42</t>
  </si>
  <si>
    <t>SQ Preliminary Compulsories</t>
  </si>
  <si>
    <t>20/25A</t>
  </si>
  <si>
    <t>24/32A</t>
  </si>
  <si>
    <t>3, 4/2AF -  2 Rounds</t>
  </si>
  <si>
    <t>22/31J</t>
  </si>
  <si>
    <t>23A/31J</t>
  </si>
  <si>
    <t>23B/31J</t>
  </si>
  <si>
    <t>A DEEKS</t>
  </si>
  <si>
    <t>J SCOTT</t>
  </si>
  <si>
    <t>R BRUDERER</t>
  </si>
  <si>
    <t>R Bruderer</t>
  </si>
  <si>
    <t>A Deeks</t>
  </si>
  <si>
    <t>J Scott</t>
  </si>
  <si>
    <t>C Wicks</t>
  </si>
  <si>
    <t>Walk B</t>
  </si>
  <si>
    <t>SCRATCHED</t>
  </si>
  <si>
    <t>Preliminary Group A</t>
  </si>
  <si>
    <t>Preliminary Group B</t>
  </si>
  <si>
    <t>Preliminary Group C</t>
  </si>
  <si>
    <t>Free R2</t>
  </si>
  <si>
    <t>Free R1</t>
  </si>
  <si>
    <t>HC</t>
  </si>
  <si>
    <t xml:space="preserve">Tech </t>
  </si>
  <si>
    <t>Test</t>
  </si>
  <si>
    <t>Bathurst &amp; Dist</t>
  </si>
  <si>
    <t>Compulsories</t>
  </si>
  <si>
    <t>SCR</t>
  </si>
  <si>
    <t>Free 2</t>
  </si>
  <si>
    <t>Free</t>
  </si>
  <si>
    <t xml:space="preserve">24th VAULTING NSW CHAMPIONSHIPS 2018 </t>
  </si>
  <si>
    <t>STATE AWARDS</t>
  </si>
  <si>
    <t xml:space="preserve">Under 13 years </t>
  </si>
  <si>
    <t>13 years to 17 years</t>
  </si>
  <si>
    <t xml:space="preserve">18 years and over </t>
  </si>
  <si>
    <t>Pas De Deux Award</t>
  </si>
  <si>
    <t>Squad Award</t>
  </si>
  <si>
    <t>Horse &amp; Lunger Combination Awards</t>
  </si>
  <si>
    <t>Best Individual Vaulting Horse &amp; Lunger Combination of the Championships</t>
  </si>
  <si>
    <t>Robyn Boyle &amp; Hunterview Sinatra</t>
  </si>
  <si>
    <t>Best NSW Pdd Horse &amp; Lunger Combination of the Championships</t>
  </si>
  <si>
    <t xml:space="preserve">Best Squad Horse &amp; Lunger Combination of the Championships: </t>
  </si>
  <si>
    <t>Sydney Vaulting Group</t>
  </si>
  <si>
    <t>No entries</t>
  </si>
  <si>
    <t>Lyn Lynch &amp; Kingston Legato</t>
  </si>
  <si>
    <t>Individual Vaulter Awards</t>
  </si>
  <si>
    <t>A J SCOTT</t>
  </si>
  <si>
    <t>B C WICKS</t>
  </si>
  <si>
    <t xml:space="preserve">Judge </t>
  </si>
  <si>
    <t>Lauren Steinman &amp; Lily Steinman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</si>
</sst>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C09]dd\-mmm\-yy;@"/>
    <numFmt numFmtId="165" formatCode="[$-409]h:mm:ss\ AM/PM;@"/>
    <numFmt numFmtId="166" formatCode="0.0"/>
    <numFmt numFmtId="167" formatCode="0.000"/>
    <numFmt numFmtId="168" formatCode="_-* #,##0.000_-;\-* #,##0.000_-;_-* &quot;-&quot;??_-;_-@_-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indexed="8"/>
      <name val="Calibri"/>
      <family val="2"/>
    </font>
    <font>
      <strike/>
      <sz val="11"/>
      <name val="Calibri"/>
      <family val="2"/>
      <scheme val="minor"/>
    </font>
    <font>
      <strike/>
      <sz val="10"/>
      <name val="Arial"/>
      <family val="2"/>
    </font>
    <font>
      <b/>
      <strike/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sz val="10"/>
      <name val="Arial"/>
    </font>
    <font>
      <b/>
      <u/>
      <sz val="11"/>
      <name val="Arial"/>
      <family val="2"/>
    </font>
    <font>
      <u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5" fillId="0" borderId="0"/>
    <xf numFmtId="0" fontId="23" fillId="0" borderId="0"/>
    <xf numFmtId="0" fontId="23" fillId="0" borderId="0"/>
    <xf numFmtId="0" fontId="21" fillId="0" borderId="0"/>
    <xf numFmtId="0" fontId="32" fillId="0" borderId="0"/>
    <xf numFmtId="0" fontId="20" fillId="0" borderId="0"/>
    <xf numFmtId="0" fontId="36" fillId="0" borderId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42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3" fontId="54" fillId="0" borderId="0" applyFont="0" applyFill="0" applyBorder="0" applyAlignment="0" applyProtection="0"/>
  </cellStyleXfs>
  <cellXfs count="526">
    <xf numFmtId="0" fontId="0" fillId="0" borderId="0" xfId="0"/>
    <xf numFmtId="0" fontId="34" fillId="0" borderId="0" xfId="0" applyFont="1"/>
    <xf numFmtId="0" fontId="3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Alignment="1" applyProtection="1">
      <protection locked="0"/>
    </xf>
    <xf numFmtId="164" fontId="24" fillId="0" borderId="0" xfId="0" applyNumberFormat="1" applyFont="1" applyFill="1" applyAlignment="1" applyProtection="1">
      <alignment horizontal="right"/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165" fontId="24" fillId="0" borderId="0" xfId="0" applyNumberFormat="1" applyFont="1" applyFill="1" applyAlignment="1" applyProtection="1">
      <alignment horizontal="right"/>
      <protection locked="0"/>
    </xf>
    <xf numFmtId="165" fontId="24" fillId="0" borderId="0" xfId="0" applyNumberFormat="1" applyFont="1" applyAlignment="1" applyProtection="1">
      <alignment horizontal="right"/>
      <protection locked="0"/>
    </xf>
    <xf numFmtId="0" fontId="41" fillId="0" borderId="0" xfId="8" applyFont="1" applyFill="1" applyAlignment="1" applyProtection="1">
      <protection locked="0"/>
    </xf>
    <xf numFmtId="0" fontId="41" fillId="0" borderId="0" xfId="8" applyFont="1" applyFill="1" applyProtection="1">
      <protection locked="0"/>
    </xf>
    <xf numFmtId="0" fontId="38" fillId="0" borderId="0" xfId="9" applyFont="1" applyFill="1" applyProtection="1">
      <protection locked="0"/>
    </xf>
    <xf numFmtId="0" fontId="38" fillId="0" borderId="0" xfId="8" applyFont="1" applyFill="1" applyAlignment="1" applyProtection="1">
      <protection locked="0"/>
    </xf>
    <xf numFmtId="0" fontId="38" fillId="0" borderId="0" xfId="8" applyFont="1" applyFill="1" applyProtection="1">
      <protection locked="0"/>
    </xf>
    <xf numFmtId="0" fontId="41" fillId="10" borderId="0" xfId="8" applyFont="1" applyAlignment="1" applyProtection="1">
      <protection locked="0"/>
    </xf>
    <xf numFmtId="0" fontId="41" fillId="10" borderId="0" xfId="8" applyFont="1" applyProtection="1">
      <protection locked="0"/>
    </xf>
    <xf numFmtId="0" fontId="38" fillId="11" borderId="0" xfId="9" applyFont="1" applyProtection="1">
      <protection locked="0"/>
    </xf>
    <xf numFmtId="0" fontId="38" fillId="10" borderId="0" xfId="8" applyFont="1" applyAlignment="1" applyProtection="1">
      <protection locked="0"/>
    </xf>
    <xf numFmtId="0" fontId="38" fillId="10" borderId="0" xfId="8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 applyProtection="1">
      <protection locked="0"/>
    </xf>
    <xf numFmtId="166" fontId="31" fillId="6" borderId="0" xfId="0" applyNumberFormat="1" applyFont="1" applyFill="1" applyBorder="1" applyAlignment="1" applyProtection="1">
      <protection locked="0"/>
    </xf>
    <xf numFmtId="166" fontId="24" fillId="6" borderId="0" xfId="0" applyNumberFormat="1" applyFont="1" applyFill="1" applyProtection="1">
      <protection locked="0"/>
    </xf>
    <xf numFmtId="0" fontId="40" fillId="0" borderId="0" xfId="3" applyFont="1" applyProtection="1">
      <protection locked="0"/>
    </xf>
    <xf numFmtId="167" fontId="24" fillId="0" borderId="0" xfId="0" applyNumberFormat="1" applyFont="1" applyFill="1" applyProtection="1"/>
    <xf numFmtId="166" fontId="24" fillId="0" borderId="0" xfId="0" applyNumberFormat="1" applyFont="1" applyProtection="1"/>
    <xf numFmtId="166" fontId="24" fillId="5" borderId="0" xfId="0" applyNumberFormat="1" applyFont="1" applyFill="1" applyProtection="1"/>
    <xf numFmtId="167" fontId="24" fillId="0" borderId="0" xfId="0" applyNumberFormat="1" applyFont="1" applyAlignment="1" applyProtection="1">
      <alignment horizontal="left"/>
    </xf>
    <xf numFmtId="166" fontId="24" fillId="0" borderId="0" xfId="0" applyNumberFormat="1" applyFont="1" applyFill="1" applyAlignment="1" applyProtection="1">
      <alignment horizontal="left"/>
    </xf>
    <xf numFmtId="167" fontId="26" fillId="0" borderId="0" xfId="0" applyNumberFormat="1" applyFont="1" applyAlignment="1" applyProtection="1">
      <alignment horizontal="left"/>
    </xf>
    <xf numFmtId="0" fontId="24" fillId="0" borderId="0" xfId="0" applyFont="1" applyFill="1" applyBorder="1" applyProtection="1">
      <protection locked="0"/>
    </xf>
    <xf numFmtId="0" fontId="24" fillId="5" borderId="0" xfId="0" applyFont="1" applyFill="1" applyProtection="1"/>
    <xf numFmtId="167" fontId="24" fillId="5" borderId="0" xfId="0" applyNumberFormat="1" applyFont="1" applyFill="1" applyProtection="1"/>
    <xf numFmtId="0" fontId="33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4" fillId="5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166" fontId="34" fillId="0" borderId="0" xfId="0" applyNumberFormat="1" applyFont="1" applyFill="1" applyProtection="1"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166" fontId="34" fillId="4" borderId="0" xfId="0" applyNumberFormat="1" applyFont="1" applyFill="1" applyProtection="1">
      <protection locked="0"/>
    </xf>
    <xf numFmtId="0" fontId="22" fillId="0" borderId="0" xfId="3" applyFont="1" applyProtection="1">
      <protection locked="0"/>
    </xf>
    <xf numFmtId="0" fontId="30" fillId="0" borderId="0" xfId="4" applyFont="1" applyProtection="1">
      <protection locked="0"/>
    </xf>
    <xf numFmtId="0" fontId="30" fillId="0" borderId="0" xfId="4" applyFont="1" applyBorder="1" applyProtection="1">
      <protection locked="0"/>
    </xf>
    <xf numFmtId="0" fontId="21" fillId="0" borderId="0" xfId="4" applyProtection="1">
      <protection locked="0"/>
    </xf>
    <xf numFmtId="0" fontId="30" fillId="0" borderId="0" xfId="4" applyFont="1" applyFill="1" applyBorder="1" applyProtection="1"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Protection="1">
      <protection locked="0"/>
    </xf>
    <xf numFmtId="166" fontId="34" fillId="0" borderId="0" xfId="0" applyNumberFormat="1" applyFont="1" applyFill="1" applyProtection="1"/>
    <xf numFmtId="167" fontId="34" fillId="0" borderId="0" xfId="0" applyNumberFormat="1" applyFont="1" applyFill="1" applyProtection="1"/>
    <xf numFmtId="0" fontId="24" fillId="9" borderId="0" xfId="0" applyFont="1" applyFill="1" applyProtection="1">
      <protection locked="0"/>
    </xf>
    <xf numFmtId="0" fontId="38" fillId="0" borderId="0" xfId="11" applyFont="1" applyFill="1" applyAlignment="1" applyProtection="1">
      <protection locked="0"/>
    </xf>
    <xf numFmtId="0" fontId="38" fillId="0" borderId="0" xfId="11" applyFont="1" applyFill="1" applyProtection="1">
      <protection locked="0"/>
    </xf>
    <xf numFmtId="0" fontId="38" fillId="0" borderId="0" xfId="9" applyFont="1" applyFill="1" applyAlignment="1" applyProtection="1">
      <protection locked="0"/>
    </xf>
    <xf numFmtId="0" fontId="38" fillId="0" borderId="0" xfId="10" applyFont="1" applyFill="1" applyAlignment="1" applyProtection="1">
      <protection locked="0"/>
    </xf>
    <xf numFmtId="0" fontId="19" fillId="0" borderId="0" xfId="10" applyFill="1" applyProtection="1">
      <protection locked="0"/>
    </xf>
    <xf numFmtId="0" fontId="38" fillId="13" borderId="0" xfId="11" applyFont="1" applyAlignment="1" applyProtection="1">
      <protection locked="0"/>
    </xf>
    <xf numFmtId="0" fontId="38" fillId="13" borderId="0" xfId="11" applyFont="1" applyProtection="1">
      <protection locked="0"/>
    </xf>
    <xf numFmtId="0" fontId="38" fillId="11" borderId="0" xfId="9" applyFont="1" applyAlignment="1" applyProtection="1"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5" borderId="1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24" fillId="9" borderId="0" xfId="0" applyFont="1" applyFill="1" applyAlignment="1" applyProtection="1">
      <alignment horizontal="center"/>
      <protection locked="0"/>
    </xf>
    <xf numFmtId="0" fontId="26" fillId="5" borderId="1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/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167" fontId="26" fillId="0" borderId="0" xfId="0" applyNumberFormat="1" applyFont="1" applyAlignment="1" applyProtection="1">
      <alignment horizontal="left"/>
      <protection locked="0"/>
    </xf>
    <xf numFmtId="0" fontId="37" fillId="0" borderId="0" xfId="0" applyFont="1" applyFill="1" applyProtection="1">
      <protection locked="0"/>
    </xf>
    <xf numFmtId="2" fontId="30" fillId="0" borderId="0" xfId="4" applyNumberFormat="1" applyFont="1" applyAlignment="1" applyProtection="1">
      <alignment horizontal="left"/>
      <protection locked="0"/>
    </xf>
    <xf numFmtId="0" fontId="30" fillId="0" borderId="0" xfId="4" applyFont="1" applyFill="1" applyProtection="1">
      <protection locked="0"/>
    </xf>
    <xf numFmtId="0" fontId="29" fillId="0" borderId="0" xfId="4" applyFont="1" applyProtection="1">
      <protection locked="0"/>
    </xf>
    <xf numFmtId="0" fontId="29" fillId="0" borderId="0" xfId="4" applyFont="1" applyFill="1" applyProtection="1">
      <protection locked="0"/>
    </xf>
    <xf numFmtId="166" fontId="24" fillId="9" borderId="0" xfId="0" applyNumberFormat="1" applyFont="1" applyFill="1" applyProtection="1"/>
    <xf numFmtId="0" fontId="24" fillId="9" borderId="0" xfId="0" applyFont="1" applyFill="1" applyProtection="1"/>
    <xf numFmtId="167" fontId="24" fillId="0" borderId="0" xfId="0" applyNumberFormat="1" applyFont="1" applyFill="1" applyBorder="1" applyProtection="1"/>
    <xf numFmtId="166" fontId="31" fillId="8" borderId="0" xfId="0" applyNumberFormat="1" applyFont="1" applyFill="1" applyBorder="1" applyAlignment="1" applyProtection="1"/>
    <xf numFmtId="0" fontId="38" fillId="0" borderId="0" xfId="10" applyFont="1" applyFill="1" applyProtection="1">
      <protection locked="0"/>
    </xf>
    <xf numFmtId="0" fontId="38" fillId="12" borderId="0" xfId="10" applyFont="1" applyAlignment="1" applyProtection="1">
      <protection locked="0"/>
    </xf>
    <xf numFmtId="0" fontId="38" fillId="12" borderId="0" xfId="10" applyFont="1" applyProtection="1">
      <protection locked="0"/>
    </xf>
    <xf numFmtId="0" fontId="19" fillId="11" borderId="0" xfId="9" applyFont="1" applyProtection="1">
      <protection locked="0"/>
    </xf>
    <xf numFmtId="0" fontId="19" fillId="11" borderId="0" xfId="9" applyFont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19" fillId="11" borderId="0" xfId="9" applyFont="1" applyAlignment="1" applyProtection="1">
      <alignment horizontal="center"/>
      <protection locked="0"/>
    </xf>
    <xf numFmtId="0" fontId="19" fillId="11" borderId="0" xfId="9" applyFont="1" applyProtection="1"/>
    <xf numFmtId="0" fontId="24" fillId="0" borderId="0" xfId="0" applyFont="1" applyFill="1" applyAlignment="1" applyProtection="1">
      <alignment horizontal="left"/>
    </xf>
    <xf numFmtId="0" fontId="27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Protection="1"/>
    <xf numFmtId="0" fontId="26" fillId="0" borderId="0" xfId="0" applyFont="1" applyAlignment="1" applyProtection="1">
      <alignment horizontal="right"/>
      <protection locked="0"/>
    </xf>
    <xf numFmtId="0" fontId="26" fillId="0" borderId="0" xfId="0" applyFont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Border="1" applyAlignment="1" applyProtection="1">
      <protection locked="0"/>
    </xf>
    <xf numFmtId="0" fontId="24" fillId="0" borderId="0" xfId="0" applyFont="1" applyFill="1" applyBorder="1" applyAlignme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34" fillId="0" borderId="0" xfId="0" applyFont="1" applyFill="1" applyProtection="1">
      <protection locked="0"/>
    </xf>
    <xf numFmtId="164" fontId="34" fillId="0" borderId="0" xfId="0" applyNumberFormat="1" applyFont="1" applyAlignment="1" applyProtection="1">
      <alignment horizontal="right"/>
      <protection locked="0"/>
    </xf>
    <xf numFmtId="0" fontId="34" fillId="0" borderId="0" xfId="0" applyFont="1" applyAlignment="1" applyProtection="1">
      <protection locked="0"/>
    </xf>
    <xf numFmtId="165" fontId="34" fillId="0" borderId="0" xfId="0" applyNumberFormat="1" applyFont="1" applyAlignment="1" applyProtection="1">
      <alignment horizontal="right"/>
      <protection locked="0"/>
    </xf>
    <xf numFmtId="0" fontId="35" fillId="0" borderId="0" xfId="0" applyFont="1" applyFill="1" applyProtection="1">
      <protection locked="0"/>
    </xf>
    <xf numFmtId="0" fontId="34" fillId="9" borderId="0" xfId="0" applyFont="1" applyFill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5" borderId="1" xfId="0" applyFont="1" applyFill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Protection="1">
      <protection locked="0"/>
    </xf>
    <xf numFmtId="166" fontId="34" fillId="5" borderId="0" xfId="0" applyNumberFormat="1" applyFont="1" applyFill="1" applyProtection="1">
      <protection locked="0"/>
    </xf>
    <xf numFmtId="0" fontId="34" fillId="5" borderId="0" xfId="0" applyFont="1" applyFill="1" applyProtection="1"/>
    <xf numFmtId="166" fontId="34" fillId="5" borderId="0" xfId="0" applyNumberFormat="1" applyFont="1" applyFill="1" applyProtection="1"/>
    <xf numFmtId="167" fontId="34" fillId="0" borderId="0" xfId="0" applyNumberFormat="1" applyFont="1" applyProtection="1"/>
    <xf numFmtId="0" fontId="34" fillId="3" borderId="0" xfId="0" applyFont="1" applyFill="1" applyProtection="1"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4" fillId="3" borderId="0" xfId="0" applyFont="1" applyFill="1" applyBorder="1" applyAlignment="1" applyProtection="1">
      <alignment horizontal="center" vertical="center"/>
      <protection locked="0"/>
    </xf>
    <xf numFmtId="166" fontId="34" fillId="3" borderId="0" xfId="0" applyNumberFormat="1" applyFont="1" applyFill="1" applyProtection="1"/>
    <xf numFmtId="0" fontId="42" fillId="5" borderId="0" xfId="0" applyFont="1" applyFill="1" applyBorder="1" applyAlignment="1" applyProtection="1">
      <alignment horizontal="left" vertical="center"/>
      <protection locked="0"/>
    </xf>
    <xf numFmtId="167" fontId="34" fillId="5" borderId="0" xfId="0" applyNumberFormat="1" applyFont="1" applyFill="1" applyProtection="1">
      <protection locked="0"/>
    </xf>
    <xf numFmtId="0" fontId="33" fillId="0" borderId="0" xfId="12" applyFont="1" applyProtection="1">
      <protection locked="0"/>
    </xf>
    <xf numFmtId="0" fontId="24" fillId="0" borderId="0" xfId="12" applyFont="1" applyProtection="1">
      <protection locked="0"/>
    </xf>
    <xf numFmtId="0" fontId="34" fillId="0" borderId="0" xfId="12" applyFont="1" applyProtection="1">
      <protection locked="0"/>
    </xf>
    <xf numFmtId="0" fontId="24" fillId="0" borderId="0" xfId="12" applyFont="1" applyFill="1" applyProtection="1">
      <protection locked="0"/>
    </xf>
    <xf numFmtId="0" fontId="24" fillId="0" borderId="0" xfId="12" applyFont="1" applyAlignment="1" applyProtection="1">
      <protection locked="0"/>
    </xf>
    <xf numFmtId="164" fontId="24" fillId="0" borderId="0" xfId="12" applyNumberFormat="1" applyFont="1" applyFill="1" applyAlignment="1" applyProtection="1">
      <alignment horizontal="right"/>
      <protection locked="0"/>
    </xf>
    <xf numFmtId="164" fontId="24" fillId="0" borderId="0" xfId="12" applyNumberFormat="1" applyFont="1" applyAlignment="1" applyProtection="1">
      <alignment horizontal="right"/>
      <protection locked="0"/>
    </xf>
    <xf numFmtId="0" fontId="27" fillId="0" borderId="0" xfId="12" applyFont="1" applyProtection="1">
      <protection locked="0"/>
    </xf>
    <xf numFmtId="165" fontId="24" fillId="0" borderId="0" xfId="12" applyNumberFormat="1" applyFont="1" applyFill="1" applyAlignment="1" applyProtection="1">
      <alignment horizontal="right"/>
      <protection locked="0"/>
    </xf>
    <xf numFmtId="165" fontId="24" fillId="0" borderId="0" xfId="12" applyNumberFormat="1" applyFont="1" applyAlignment="1" applyProtection="1">
      <alignment horizontal="right"/>
      <protection locked="0"/>
    </xf>
    <xf numFmtId="0" fontId="38" fillId="0" borderId="0" xfId="13" applyFont="1" applyFill="1" applyAlignment="1" applyProtection="1">
      <protection locked="0"/>
    </xf>
    <xf numFmtId="0" fontId="38" fillId="0" borderId="0" xfId="13" applyFont="1" applyFill="1" applyProtection="1">
      <protection locked="0"/>
    </xf>
    <xf numFmtId="0" fontId="38" fillId="0" borderId="0" xfId="14" applyFont="1" applyFill="1" applyProtection="1">
      <protection locked="0"/>
    </xf>
    <xf numFmtId="15" fontId="33" fillId="0" borderId="0" xfId="12" applyNumberFormat="1" applyFont="1" applyAlignment="1" applyProtection="1">
      <alignment horizontal="right"/>
      <protection locked="0"/>
    </xf>
    <xf numFmtId="0" fontId="17" fillId="0" borderId="0" xfId="12" applyAlignment="1" applyProtection="1">
      <alignment horizontal="right"/>
      <protection locked="0"/>
    </xf>
    <xf numFmtId="0" fontId="38" fillId="10" borderId="0" xfId="13" applyFont="1" applyAlignment="1" applyProtection="1">
      <protection locked="0"/>
    </xf>
    <xf numFmtId="0" fontId="38" fillId="10" borderId="0" xfId="13" applyFont="1" applyProtection="1">
      <protection locked="0"/>
    </xf>
    <xf numFmtId="0" fontId="38" fillId="11" borderId="0" xfId="14" applyFont="1" applyProtection="1">
      <protection locked="0"/>
    </xf>
    <xf numFmtId="0" fontId="26" fillId="0" borderId="0" xfId="12" applyFont="1" applyProtection="1">
      <protection locked="0"/>
    </xf>
    <xf numFmtId="0" fontId="27" fillId="0" borderId="0" xfId="12" applyFont="1" applyAlignment="1" applyProtection="1">
      <alignment horizontal="left"/>
      <protection locked="0"/>
    </xf>
    <xf numFmtId="0" fontId="24" fillId="0" borderId="0" xfId="12" applyFont="1" applyFill="1" applyAlignment="1" applyProtection="1">
      <alignment horizontal="center"/>
      <protection locked="0"/>
    </xf>
    <xf numFmtId="0" fontId="26" fillId="0" borderId="0" xfId="12" applyFont="1" applyAlignment="1" applyProtection="1">
      <alignment horizontal="center"/>
      <protection locked="0"/>
    </xf>
    <xf numFmtId="0" fontId="24" fillId="0" borderId="0" xfId="12" applyFont="1" applyAlignment="1" applyProtection="1">
      <alignment horizontal="center"/>
      <protection locked="0"/>
    </xf>
    <xf numFmtId="0" fontId="24" fillId="5" borderId="0" xfId="12" applyFont="1" applyFill="1" applyProtection="1">
      <protection locked="0"/>
    </xf>
    <xf numFmtId="0" fontId="26" fillId="0" borderId="0" xfId="12" applyFont="1" applyAlignment="1" applyProtection="1">
      <alignment horizontal="center" vertical="center"/>
      <protection locked="0"/>
    </xf>
    <xf numFmtId="0" fontId="24" fillId="0" borderId="0" xfId="12" applyFont="1" applyAlignment="1" applyProtection="1">
      <alignment horizontal="center" vertical="center"/>
      <protection locked="0"/>
    </xf>
    <xf numFmtId="0" fontId="24" fillId="0" borderId="0" xfId="12" applyFont="1" applyBorder="1" applyAlignment="1" applyProtection="1">
      <alignment horizontal="center"/>
      <protection locked="0"/>
    </xf>
    <xf numFmtId="0" fontId="24" fillId="0" borderId="0" xfId="12" applyFont="1" applyBorder="1" applyAlignment="1" applyProtection="1">
      <alignment horizontal="center" vertical="center"/>
      <protection locked="0"/>
    </xf>
    <xf numFmtId="0" fontId="24" fillId="5" borderId="0" xfId="12" applyFont="1" applyFill="1" applyBorder="1" applyAlignment="1" applyProtection="1">
      <alignment horizontal="center"/>
      <protection locked="0"/>
    </xf>
    <xf numFmtId="0" fontId="24" fillId="5" borderId="0" xfId="12" applyFont="1" applyFill="1" applyBorder="1" applyAlignment="1" applyProtection="1">
      <alignment horizontal="center" vertical="center"/>
      <protection locked="0"/>
    </xf>
    <xf numFmtId="0" fontId="34" fillId="0" borderId="0" xfId="12" applyFont="1" applyBorder="1" applyAlignment="1" applyProtection="1">
      <alignment horizontal="center"/>
      <protection locked="0"/>
    </xf>
    <xf numFmtId="0" fontId="17" fillId="0" borderId="0" xfId="12" applyBorder="1" applyAlignment="1" applyProtection="1">
      <alignment horizontal="center"/>
      <protection locked="0"/>
    </xf>
    <xf numFmtId="0" fontId="34" fillId="0" borderId="0" xfId="12" applyFont="1" applyBorder="1" applyAlignment="1" applyProtection="1">
      <alignment horizontal="center" vertical="center"/>
      <protection locked="0"/>
    </xf>
    <xf numFmtId="0" fontId="24" fillId="7" borderId="0" xfId="12" applyFont="1" applyFill="1" applyBorder="1" applyAlignment="1" applyProtection="1">
      <alignment horizontal="center"/>
      <protection locked="0"/>
    </xf>
    <xf numFmtId="0" fontId="24" fillId="0" borderId="0" xfId="12" applyFont="1" applyFill="1" applyBorder="1" applyAlignment="1" applyProtection="1">
      <alignment horizontal="center"/>
      <protection locked="0"/>
    </xf>
    <xf numFmtId="0" fontId="26" fillId="0" borderId="0" xfId="12" applyFont="1" applyBorder="1" applyAlignment="1" applyProtection="1">
      <alignment horizontal="center" vertical="center"/>
      <protection locked="0"/>
    </xf>
    <xf numFmtId="0" fontId="24" fillId="0" borderId="0" xfId="12" applyFont="1" applyFill="1" applyBorder="1" applyAlignment="1" applyProtection="1">
      <alignment horizontal="center" vertical="center"/>
      <protection locked="0"/>
    </xf>
    <xf numFmtId="0" fontId="24" fillId="5" borderId="0" xfId="12" applyFont="1" applyFill="1" applyAlignment="1" applyProtection="1">
      <alignment horizontal="center"/>
      <protection locked="0"/>
    </xf>
    <xf numFmtId="0" fontId="24" fillId="5" borderId="0" xfId="12" applyFont="1" applyFill="1" applyAlignment="1" applyProtection="1">
      <alignment horizontal="center" vertical="center"/>
      <protection locked="0"/>
    </xf>
    <xf numFmtId="166" fontId="34" fillId="0" borderId="0" xfId="12" applyNumberFormat="1" applyFont="1" applyFill="1" applyProtection="1">
      <protection locked="0"/>
    </xf>
    <xf numFmtId="0" fontId="24" fillId="7" borderId="0" xfId="12" applyFont="1" applyFill="1" applyAlignment="1" applyProtection="1">
      <alignment horizontal="center"/>
      <protection locked="0"/>
    </xf>
    <xf numFmtId="0" fontId="24" fillId="0" borderId="0" xfId="12" applyFont="1" applyFill="1" applyAlignment="1" applyProtection="1">
      <alignment horizontal="center" vertical="center"/>
      <protection locked="0"/>
    </xf>
    <xf numFmtId="166" fontId="31" fillId="6" borderId="0" xfId="12" applyNumberFormat="1" applyFont="1" applyFill="1" applyBorder="1" applyAlignment="1" applyProtection="1">
      <protection locked="0"/>
    </xf>
    <xf numFmtId="167" fontId="24" fillId="0" borderId="0" xfId="12" applyNumberFormat="1" applyFont="1" applyFill="1" applyProtection="1"/>
    <xf numFmtId="0" fontId="24" fillId="5" borderId="0" xfId="12" applyFont="1" applyFill="1" applyProtection="1"/>
    <xf numFmtId="166" fontId="24" fillId="5" borderId="0" xfId="12" applyNumberFormat="1" applyFont="1" applyFill="1" applyProtection="1"/>
    <xf numFmtId="166" fontId="24" fillId="0" borderId="0" xfId="12" applyNumberFormat="1" applyFont="1" applyProtection="1"/>
    <xf numFmtId="2" fontId="34" fillId="4" borderId="0" xfId="12" applyNumberFormat="1" applyFont="1" applyFill="1" applyProtection="1">
      <protection locked="0"/>
    </xf>
    <xf numFmtId="166" fontId="34" fillId="4" borderId="0" xfId="12" applyNumberFormat="1" applyFont="1" applyFill="1" applyProtection="1">
      <protection locked="0"/>
    </xf>
    <xf numFmtId="166" fontId="34" fillId="0" borderId="0" xfId="12" applyNumberFormat="1" applyFont="1" applyFill="1" applyProtection="1"/>
    <xf numFmtId="167" fontId="34" fillId="0" borderId="0" xfId="12" applyNumberFormat="1" applyFont="1" applyFill="1" applyProtection="1"/>
    <xf numFmtId="166" fontId="24" fillId="7" borderId="0" xfId="12" applyNumberFormat="1" applyFont="1" applyFill="1" applyProtection="1"/>
    <xf numFmtId="166" fontId="24" fillId="6" borderId="0" xfId="12" applyNumberFormat="1" applyFont="1" applyFill="1" applyProtection="1">
      <protection locked="0"/>
    </xf>
    <xf numFmtId="167" fontId="26" fillId="0" borderId="0" xfId="12" applyNumberFormat="1" applyFont="1" applyProtection="1"/>
    <xf numFmtId="0" fontId="30" fillId="0" borderId="0" xfId="15" applyFont="1" applyProtection="1">
      <protection locked="0"/>
    </xf>
    <xf numFmtId="0" fontId="30" fillId="0" borderId="0" xfId="15" applyFont="1" applyBorder="1" applyProtection="1">
      <protection locked="0"/>
    </xf>
    <xf numFmtId="0" fontId="17" fillId="0" borderId="0" xfId="15" applyProtection="1">
      <protection locked="0"/>
    </xf>
    <xf numFmtId="0" fontId="30" fillId="0" borderId="0" xfId="15" applyFont="1" applyFill="1" applyBorder="1" applyProtection="1">
      <protection locked="0"/>
    </xf>
    <xf numFmtId="0" fontId="24" fillId="0" borderId="0" xfId="12" applyFont="1" applyProtection="1"/>
    <xf numFmtId="0" fontId="26" fillId="0" borderId="0" xfId="12" applyFont="1" applyAlignment="1" applyProtection="1">
      <alignment horizontal="left"/>
      <protection locked="0"/>
    </xf>
    <xf numFmtId="0" fontId="34" fillId="0" borderId="0" xfId="12" applyFont="1" applyFill="1" applyBorder="1" applyAlignment="1" applyProtection="1">
      <alignment horizontal="center"/>
      <protection locked="0"/>
    </xf>
    <xf numFmtId="0" fontId="17" fillId="0" borderId="0" xfId="12" applyFill="1" applyBorder="1" applyAlignment="1" applyProtection="1">
      <alignment horizontal="center"/>
      <protection locked="0"/>
    </xf>
    <xf numFmtId="0" fontId="34" fillId="0" borderId="0" xfId="12" applyFont="1" applyFill="1" applyBorder="1" applyAlignment="1" applyProtection="1">
      <alignment horizontal="center" vertical="center"/>
      <protection locked="0"/>
    </xf>
    <xf numFmtId="0" fontId="26" fillId="0" borderId="0" xfId="12" applyFont="1" applyFill="1" applyBorder="1" applyAlignment="1" applyProtection="1">
      <alignment horizontal="center" vertical="center"/>
      <protection locked="0"/>
    </xf>
    <xf numFmtId="0" fontId="26" fillId="0" borderId="0" xfId="12" applyFont="1" applyFill="1" applyAlignment="1" applyProtection="1">
      <alignment horizontal="center" vertical="center"/>
      <protection locked="0"/>
    </xf>
    <xf numFmtId="0" fontId="17" fillId="0" borderId="0" xfId="12" applyFill="1" applyProtection="1">
      <protection locked="0"/>
    </xf>
    <xf numFmtId="166" fontId="31" fillId="0" borderId="0" xfId="12" applyNumberFormat="1" applyFont="1" applyFill="1" applyBorder="1" applyAlignment="1" applyProtection="1">
      <protection locked="0"/>
    </xf>
    <xf numFmtId="167" fontId="24" fillId="0" borderId="0" xfId="12" applyNumberFormat="1" applyFont="1" applyFill="1" applyProtection="1">
      <protection locked="0"/>
    </xf>
    <xf numFmtId="166" fontId="24" fillId="0" borderId="0" xfId="12" applyNumberFormat="1" applyFont="1" applyFill="1" applyProtection="1">
      <protection locked="0"/>
    </xf>
    <xf numFmtId="167" fontId="34" fillId="0" borderId="0" xfId="12" applyNumberFormat="1" applyFont="1" applyFill="1" applyProtection="1">
      <protection locked="0"/>
    </xf>
    <xf numFmtId="167" fontId="26" fillId="0" borderId="0" xfId="12" applyNumberFormat="1" applyFont="1" applyFill="1" applyProtection="1">
      <protection locked="0"/>
    </xf>
    <xf numFmtId="0" fontId="17" fillId="0" borderId="0" xfId="12" applyProtection="1">
      <protection locked="0"/>
    </xf>
    <xf numFmtId="167" fontId="24" fillId="0" borderId="0" xfId="12" applyNumberFormat="1" applyFont="1" applyProtection="1">
      <protection locked="0"/>
    </xf>
    <xf numFmtId="167" fontId="17" fillId="0" borderId="0" xfId="12" applyNumberFormat="1" applyProtection="1">
      <protection locked="0"/>
    </xf>
    <xf numFmtId="0" fontId="23" fillId="0" borderId="0" xfId="12" applyFont="1" applyProtection="1">
      <protection locked="0"/>
    </xf>
    <xf numFmtId="0" fontId="41" fillId="0" borderId="0" xfId="8" applyFont="1" applyFill="1"/>
    <xf numFmtId="0" fontId="0" fillId="0" borderId="0" xfId="0" applyFill="1"/>
    <xf numFmtId="0" fontId="33" fillId="0" borderId="0" xfId="0" applyFont="1" applyProtection="1"/>
    <xf numFmtId="0" fontId="24" fillId="0" borderId="0" xfId="3" applyFont="1"/>
    <xf numFmtId="0" fontId="24" fillId="0" borderId="0" xfId="3" applyFont="1" applyBorder="1" applyAlignment="1">
      <alignment horizontal="center"/>
    </xf>
    <xf numFmtId="167" fontId="24" fillId="0" borderId="0" xfId="3" applyNumberFormat="1" applyFont="1"/>
    <xf numFmtId="167" fontId="24" fillId="0" borderId="0" xfId="3" applyNumberFormat="1" applyFont="1" applyAlignment="1">
      <alignment horizontal="center"/>
    </xf>
    <xf numFmtId="0" fontId="24" fillId="5" borderId="0" xfId="3" applyFont="1" applyFill="1" applyBorder="1" applyAlignment="1">
      <alignment horizontal="center"/>
    </xf>
    <xf numFmtId="0" fontId="24" fillId="5" borderId="0" xfId="3" applyFont="1" applyFill="1" applyAlignment="1">
      <alignment horizontal="center"/>
    </xf>
    <xf numFmtId="0" fontId="24" fillId="0" borderId="1" xfId="3" applyFont="1" applyBorder="1"/>
    <xf numFmtId="167" fontId="24" fillId="0" borderId="0" xfId="3" applyNumberFormat="1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167" fontId="24" fillId="0" borderId="2" xfId="3" applyNumberFormat="1" applyFont="1" applyBorder="1" applyAlignment="1">
      <alignment horizontal="center"/>
    </xf>
    <xf numFmtId="0" fontId="24" fillId="0" borderId="0" xfId="3" applyFont="1" applyProtection="1">
      <protection locked="0"/>
    </xf>
    <xf numFmtId="0" fontId="24" fillId="0" borderId="0" xfId="0" applyFont="1"/>
    <xf numFmtId="0" fontId="35" fillId="0" borderId="0" xfId="0" applyFont="1"/>
    <xf numFmtId="0" fontId="27" fillId="0" borderId="0" xfId="0" applyFont="1"/>
    <xf numFmtId="0" fontId="44" fillId="0" borderId="0" xfId="0" applyFont="1"/>
    <xf numFmtId="165" fontId="34" fillId="0" borderId="0" xfId="0" applyNumberFormat="1" applyFont="1" applyAlignment="1">
      <alignment horizontal="right"/>
    </xf>
    <xf numFmtId="0" fontId="41" fillId="10" borderId="0" xfId="8" applyFont="1" applyAlignment="1"/>
    <xf numFmtId="0" fontId="41" fillId="10" borderId="0" xfId="8" applyFont="1"/>
    <xf numFmtId="0" fontId="38" fillId="14" borderId="0" xfId="16" applyFont="1"/>
    <xf numFmtId="0" fontId="43" fillId="0" borderId="0" xfId="0" applyFont="1"/>
    <xf numFmtId="0" fontId="34" fillId="0" borderId="0" xfId="0" applyFont="1" applyAlignment="1">
      <alignment horizontal="center"/>
    </xf>
    <xf numFmtId="0" fontId="34" fillId="8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4" fillId="8" borderId="0" xfId="0" applyFont="1" applyFill="1"/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1" xfId="0" applyFont="1" applyBorder="1" applyAlignment="1">
      <alignment horizontal="center"/>
    </xf>
    <xf numFmtId="0" fontId="34" fillId="5" borderId="0" xfId="0" applyFont="1" applyFill="1"/>
    <xf numFmtId="166" fontId="34" fillId="4" borderId="0" xfId="0" applyNumberFormat="1" applyFont="1" applyFill="1"/>
    <xf numFmtId="167" fontId="34" fillId="0" borderId="0" xfId="0" applyNumberFormat="1" applyFont="1" applyAlignment="1"/>
    <xf numFmtId="167" fontId="34" fillId="2" borderId="0" xfId="0" applyNumberFormat="1" applyFont="1" applyFill="1"/>
    <xf numFmtId="166" fontId="34" fillId="2" borderId="0" xfId="0" applyNumberFormat="1" applyFont="1" applyFill="1"/>
    <xf numFmtId="166" fontId="34" fillId="8" borderId="0" xfId="0" applyNumberFormat="1" applyFont="1" applyFill="1"/>
    <xf numFmtId="167" fontId="31" fillId="8" borderId="0" xfId="0" applyNumberFormat="1" applyFont="1" applyFill="1"/>
    <xf numFmtId="167" fontId="34" fillId="0" borderId="0" xfId="0" applyNumberFormat="1" applyFont="1" applyFill="1"/>
    <xf numFmtId="167" fontId="34" fillId="8" borderId="0" xfId="0" applyNumberFormat="1" applyFont="1" applyFill="1"/>
    <xf numFmtId="0" fontId="34" fillId="0" borderId="0" xfId="0" applyFont="1" applyBorder="1"/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24" fillId="0" borderId="0" xfId="0" applyFont="1" applyFill="1"/>
    <xf numFmtId="0" fontId="0" fillId="0" borderId="0" xfId="0" applyFill="1" applyAlignment="1">
      <alignment horizontal="center"/>
    </xf>
    <xf numFmtId="0" fontId="24" fillId="0" borderId="2" xfId="3" applyFont="1" applyBorder="1"/>
    <xf numFmtId="0" fontId="19" fillId="10" borderId="0" xfId="8"/>
    <xf numFmtId="166" fontId="34" fillId="6" borderId="0" xfId="0" applyNumberFormat="1" applyFont="1" applyFill="1"/>
    <xf numFmtId="0" fontId="22" fillId="0" borderId="0" xfId="0" applyFont="1"/>
    <xf numFmtId="0" fontId="14" fillId="0" borderId="0" xfId="17" applyFont="1" applyBorder="1"/>
    <xf numFmtId="0" fontId="24" fillId="0" borderId="0" xfId="17" applyFont="1" applyBorder="1"/>
    <xf numFmtId="0" fontId="45" fillId="0" borderId="0" xfId="17" applyFont="1" applyBorder="1"/>
    <xf numFmtId="0" fontId="24" fillId="0" borderId="0" xfId="0" applyFont="1" applyAlignment="1">
      <alignment horizontal="center"/>
    </xf>
    <xf numFmtId="0" fontId="34" fillId="2" borderId="0" xfId="0" applyFont="1" applyFill="1"/>
    <xf numFmtId="0" fontId="24" fillId="2" borderId="0" xfId="0" applyFont="1" applyFill="1"/>
    <xf numFmtId="0" fontId="24" fillId="2" borderId="0" xfId="0" applyFont="1" applyFill="1" applyBorder="1"/>
    <xf numFmtId="0" fontId="24" fillId="0" borderId="1" xfId="0" applyFont="1" applyBorder="1"/>
    <xf numFmtId="0" fontId="12" fillId="0" borderId="0" xfId="17" applyFont="1" applyBorder="1"/>
    <xf numFmtId="0" fontId="42" fillId="0" borderId="0" xfId="17" applyFont="1" applyBorder="1"/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2" fillId="0" borderId="1" xfId="17" applyFont="1" applyBorder="1"/>
    <xf numFmtId="0" fontId="31" fillId="8" borderId="1" xfId="0" applyFont="1" applyFill="1" applyBorder="1"/>
    <xf numFmtId="0" fontId="31" fillId="4" borderId="1" xfId="0" applyFont="1" applyFill="1" applyBorder="1"/>
    <xf numFmtId="167" fontId="31" fillId="8" borderId="1" xfId="0" applyNumberFormat="1" applyFont="1" applyFill="1" applyBorder="1"/>
    <xf numFmtId="166" fontId="34" fillId="4" borderId="1" xfId="0" applyNumberFormat="1" applyFont="1" applyFill="1" applyBorder="1"/>
    <xf numFmtId="167" fontId="34" fillId="0" borderId="1" xfId="0" applyNumberFormat="1" applyFont="1" applyFill="1" applyBorder="1"/>
    <xf numFmtId="166" fontId="34" fillId="8" borderId="1" xfId="0" applyNumberFormat="1" applyFont="1" applyFill="1" applyBorder="1"/>
    <xf numFmtId="0" fontId="34" fillId="8" borderId="1" xfId="0" applyFont="1" applyFill="1" applyBorder="1"/>
    <xf numFmtId="167" fontId="34" fillId="0" borderId="1" xfId="0" applyNumberFormat="1" applyFont="1" applyBorder="1"/>
    <xf numFmtId="0" fontId="34" fillId="0" borderId="1" xfId="0" applyFont="1" applyBorder="1"/>
    <xf numFmtId="0" fontId="35" fillId="8" borderId="0" xfId="0" applyFont="1" applyFill="1" applyAlignment="1">
      <alignment horizontal="center"/>
    </xf>
    <xf numFmtId="167" fontId="34" fillId="8" borderId="0" xfId="0" applyNumberFormat="1" applyFont="1" applyFill="1" applyBorder="1"/>
    <xf numFmtId="0" fontId="11" fillId="0" borderId="0" xfId="17" applyFont="1" applyBorder="1"/>
    <xf numFmtId="0" fontId="11" fillId="0" borderId="1" xfId="17" applyFont="1" applyBorder="1"/>
    <xf numFmtId="167" fontId="34" fillId="8" borderId="1" xfId="0" applyNumberFormat="1" applyFont="1" applyFill="1" applyBorder="1"/>
    <xf numFmtId="0" fontId="10" fillId="0" borderId="0" xfId="17" applyFont="1" applyBorder="1"/>
    <xf numFmtId="0" fontId="24" fillId="0" borderId="0" xfId="17" applyFont="1" applyFill="1" applyBorder="1" applyAlignment="1"/>
    <xf numFmtId="0" fontId="9" fillId="0" borderId="0" xfId="17" applyFont="1" applyBorder="1"/>
    <xf numFmtId="0" fontId="9" fillId="0" borderId="0" xfId="17" applyFont="1" applyFill="1" applyBorder="1"/>
    <xf numFmtId="0" fontId="8" fillId="0" borderId="0" xfId="17" applyFont="1" applyBorder="1"/>
    <xf numFmtId="0" fontId="8" fillId="0" borderId="0" xfId="17" applyFont="1" applyFill="1" applyBorder="1"/>
    <xf numFmtId="0" fontId="8" fillId="5" borderId="0" xfId="17" applyFont="1" applyFill="1" applyBorder="1"/>
    <xf numFmtId="0" fontId="8" fillId="0" borderId="1" xfId="17" applyFont="1" applyBorder="1"/>
    <xf numFmtId="0" fontId="46" fillId="0" borderId="0" xfId="17" applyFont="1" applyBorder="1"/>
    <xf numFmtId="0" fontId="46" fillId="0" borderId="1" xfId="17" applyFont="1" applyBorder="1"/>
    <xf numFmtId="0" fontId="7" fillId="0" borderId="0" xfId="17" applyFont="1" applyBorder="1"/>
    <xf numFmtId="0" fontId="36" fillId="0" borderId="0" xfId="7" applyFill="1" applyProtection="1">
      <protection locked="0"/>
    </xf>
    <xf numFmtId="0" fontId="36" fillId="0" borderId="0" xfId="7" applyProtection="1">
      <protection locked="0"/>
    </xf>
    <xf numFmtId="0" fontId="36" fillId="0" borderId="0" xfId="7" applyFill="1" applyAlignment="1" applyProtection="1">
      <protection locked="0"/>
    </xf>
    <xf numFmtId="0" fontId="2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2" fillId="0" borderId="0" xfId="7" applyFont="1" applyAlignment="1" applyProtection="1">
      <alignment horizontal="left"/>
      <protection locked="0"/>
    </xf>
    <xf numFmtId="0" fontId="36" fillId="0" borderId="0" xfId="7" applyAlignment="1" applyProtection="1">
      <alignment horizontal="center"/>
      <protection locked="0"/>
    </xf>
    <xf numFmtId="0" fontId="36" fillId="0" borderId="0" xfId="7" applyFill="1" applyAlignment="1" applyProtection="1">
      <alignment horizontal="center"/>
      <protection locked="0"/>
    </xf>
    <xf numFmtId="0" fontId="22" fillId="0" borderId="0" xfId="7" applyFont="1" applyAlignment="1" applyProtection="1">
      <protection locked="0"/>
    </xf>
    <xf numFmtId="0" fontId="36" fillId="5" borderId="0" xfId="7" applyFill="1" applyAlignment="1" applyProtection="1">
      <alignment horizontal="center"/>
      <protection locked="0"/>
    </xf>
    <xf numFmtId="0" fontId="36" fillId="5" borderId="0" xfId="7" applyFill="1" applyProtection="1">
      <protection locked="0"/>
    </xf>
    <xf numFmtId="0" fontId="23" fillId="0" borderId="0" xfId="7" applyFont="1" applyAlignment="1" applyProtection="1">
      <alignment horizontal="center"/>
      <protection locked="0"/>
    </xf>
    <xf numFmtId="0" fontId="47" fillId="5" borderId="0" xfId="0" applyFont="1" applyFill="1" applyProtection="1">
      <protection locked="0"/>
    </xf>
    <xf numFmtId="166" fontId="24" fillId="5" borderId="0" xfId="0" applyNumberFormat="1" applyFont="1" applyFill="1" applyProtection="1">
      <protection locked="0"/>
    </xf>
    <xf numFmtId="0" fontId="24" fillId="5" borderId="0" xfId="0" applyFont="1" applyFill="1" applyProtection="1">
      <protection locked="0"/>
    </xf>
    <xf numFmtId="166" fontId="47" fillId="5" borderId="0" xfId="0" applyNumberFormat="1" applyFont="1" applyFill="1" applyProtection="1">
      <protection locked="0"/>
    </xf>
    <xf numFmtId="0" fontId="38" fillId="0" borderId="0" xfId="16" applyFont="1" applyFill="1"/>
    <xf numFmtId="0" fontId="35" fillId="0" borderId="0" xfId="7" applyFont="1" applyAlignment="1" applyProtection="1">
      <alignment horizontal="center"/>
      <protection locked="0"/>
    </xf>
    <xf numFmtId="0" fontId="34" fillId="8" borderId="0" xfId="7" applyFont="1" applyFill="1" applyProtection="1">
      <protection locked="0"/>
    </xf>
    <xf numFmtId="0" fontId="34" fillId="0" borderId="0" xfId="7" applyFont="1" applyAlignment="1" applyProtection="1">
      <alignment horizontal="center"/>
      <protection locked="0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7" applyFont="1" applyProtection="1">
      <protection locked="0"/>
    </xf>
    <xf numFmtId="0" fontId="34" fillId="8" borderId="0" xfId="7" applyFont="1" applyFill="1" applyAlignment="1" applyProtection="1">
      <alignment horizontal="center"/>
      <protection locked="0"/>
    </xf>
    <xf numFmtId="0" fontId="34" fillId="5" borderId="0" xfId="7" applyFont="1" applyFill="1" applyProtection="1">
      <protection locked="0"/>
    </xf>
    <xf numFmtId="0" fontId="34" fillId="5" borderId="0" xfId="7" applyFont="1" applyFill="1" applyProtection="1"/>
    <xf numFmtId="166" fontId="34" fillId="5" borderId="0" xfId="7" applyNumberFormat="1" applyFont="1" applyFill="1" applyProtection="1">
      <protection locked="0"/>
    </xf>
    <xf numFmtId="167" fontId="34" fillId="5" borderId="0" xfId="7" applyNumberFormat="1" applyFont="1" applyFill="1" applyProtection="1"/>
    <xf numFmtId="0" fontId="34" fillId="8" borderId="0" xfId="0" applyFont="1" applyFill="1" applyProtection="1">
      <protection locked="0"/>
    </xf>
    <xf numFmtId="166" fontId="36" fillId="6" borderId="1" xfId="7" applyNumberFormat="1" applyFill="1" applyBorder="1" applyProtection="1">
      <protection locked="0"/>
    </xf>
    <xf numFmtId="0" fontId="36" fillId="6" borderId="1" xfId="7" applyFill="1" applyBorder="1" applyProtection="1">
      <protection locked="0"/>
    </xf>
    <xf numFmtId="0" fontId="34" fillId="8" borderId="1" xfId="7" applyFont="1" applyFill="1" applyBorder="1" applyProtection="1">
      <protection locked="0"/>
    </xf>
    <xf numFmtId="166" fontId="34" fillId="6" borderId="1" xfId="0" applyNumberFormat="1" applyFont="1" applyFill="1" applyBorder="1" applyProtection="1">
      <protection locked="0"/>
    </xf>
    <xf numFmtId="167" fontId="34" fillId="0" borderId="1" xfId="7" applyNumberFormat="1" applyFont="1" applyFill="1" applyBorder="1" applyProtection="1"/>
    <xf numFmtId="167" fontId="34" fillId="8" borderId="1" xfId="7" applyNumberFormat="1" applyFont="1" applyFill="1" applyBorder="1" applyProtection="1">
      <protection locked="0"/>
    </xf>
    <xf numFmtId="167" fontId="34" fillId="0" borderId="1" xfId="7" applyNumberFormat="1" applyFont="1" applyBorder="1" applyProtection="1"/>
    <xf numFmtId="0" fontId="34" fillId="0" borderId="1" xfId="7" applyFont="1" applyBorder="1" applyProtection="1">
      <protection locked="0"/>
    </xf>
    <xf numFmtId="0" fontId="24" fillId="0" borderId="1" xfId="0" applyFont="1" applyFill="1" applyBorder="1"/>
    <xf numFmtId="0" fontId="6" fillId="0" borderId="3" xfId="17" applyFont="1" applyBorder="1"/>
    <xf numFmtId="0" fontId="6" fillId="0" borderId="0" xfId="17" applyFont="1"/>
    <xf numFmtId="0" fontId="6" fillId="0" borderId="1" xfId="17" applyFont="1" applyBorder="1"/>
    <xf numFmtId="0" fontId="6" fillId="0" borderId="0" xfId="17" applyFont="1" applyBorder="1"/>
    <xf numFmtId="0" fontId="6" fillId="0" borderId="1" xfId="17" applyFont="1" applyFill="1" applyBorder="1"/>
    <xf numFmtId="167" fontId="36" fillId="0" borderId="1" xfId="7" applyNumberFormat="1" applyFill="1" applyBorder="1" applyProtection="1"/>
    <xf numFmtId="0" fontId="36" fillId="5" borderId="1" xfId="7" applyFill="1" applyBorder="1" applyProtection="1">
      <protection locked="0"/>
    </xf>
    <xf numFmtId="166" fontId="0" fillId="6" borderId="1" xfId="0" applyNumberFormat="1" applyFill="1" applyBorder="1" applyProtection="1">
      <protection locked="0"/>
    </xf>
    <xf numFmtId="0" fontId="36" fillId="5" borderId="1" xfId="7" applyFill="1" applyBorder="1" applyProtection="1"/>
    <xf numFmtId="0" fontId="36" fillId="0" borderId="1" xfId="7" applyBorder="1" applyProtection="1">
      <protection locked="0"/>
    </xf>
    <xf numFmtId="0" fontId="46" fillId="0" borderId="1" xfId="17" applyFont="1" applyFill="1" applyBorder="1"/>
    <xf numFmtId="0" fontId="6" fillId="5" borderId="0" xfId="0" applyFont="1" applyFill="1" applyBorder="1" applyProtection="1">
      <protection locked="0"/>
    </xf>
    <xf numFmtId="0" fontId="6" fillId="5" borderId="0" xfId="17" applyFont="1" applyFill="1" applyBorder="1"/>
    <xf numFmtId="0" fontId="24" fillId="0" borderId="1" xfId="17" applyFont="1" applyBorder="1"/>
    <xf numFmtId="0" fontId="46" fillId="5" borderId="0" xfId="17" applyFont="1" applyFill="1" applyBorder="1"/>
    <xf numFmtId="15" fontId="35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26" fillId="0" borderId="0" xfId="0" applyFont="1" applyFill="1" applyProtection="1"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166" fontId="31" fillId="0" borderId="0" xfId="0" applyNumberFormat="1" applyFont="1" applyFill="1" applyBorder="1" applyAlignment="1" applyProtection="1">
      <protection locked="0"/>
    </xf>
    <xf numFmtId="0" fontId="24" fillId="0" borderId="0" xfId="0" applyFont="1" applyFill="1" applyProtection="1"/>
    <xf numFmtId="166" fontId="24" fillId="0" borderId="0" xfId="0" applyNumberFormat="1" applyFont="1" applyFill="1" applyProtection="1"/>
    <xf numFmtId="167" fontId="24" fillId="0" borderId="0" xfId="0" applyNumberFormat="1" applyFont="1" applyFill="1" applyAlignment="1" applyProtection="1">
      <alignment horizontal="left"/>
    </xf>
    <xf numFmtId="0" fontId="39" fillId="0" borderId="1" xfId="0" applyFont="1" applyBorder="1" applyAlignment="1">
      <alignment horizontal="center"/>
    </xf>
    <xf numFmtId="0" fontId="12" fillId="0" borderId="1" xfId="17" applyFont="1" applyBorder="1"/>
    <xf numFmtId="0" fontId="5" fillId="0" borderId="0" xfId="17" applyFont="1" applyBorder="1"/>
    <xf numFmtId="0" fontId="48" fillId="0" borderId="0" xfId="17" applyFont="1" applyBorder="1"/>
    <xf numFmtId="166" fontId="49" fillId="6" borderId="0" xfId="12" applyNumberFormat="1" applyFont="1" applyFill="1" applyBorder="1" applyAlignment="1" applyProtection="1">
      <protection locked="0"/>
    </xf>
    <xf numFmtId="167" fontId="50" fillId="0" borderId="0" xfId="0" applyNumberFormat="1" applyFont="1" applyFill="1" applyProtection="1"/>
    <xf numFmtId="0" fontId="50" fillId="5" borderId="0" xfId="12" applyFont="1" applyFill="1" applyProtection="1"/>
    <xf numFmtId="166" fontId="50" fillId="7" borderId="0" xfId="12" applyNumberFormat="1" applyFont="1" applyFill="1" applyProtection="1"/>
    <xf numFmtId="167" fontId="50" fillId="0" borderId="0" xfId="12" applyNumberFormat="1" applyFont="1" applyProtection="1">
      <protection locked="0"/>
    </xf>
    <xf numFmtId="167" fontId="50" fillId="0" borderId="0" xfId="12" applyNumberFormat="1" applyFont="1" applyFill="1" applyProtection="1"/>
    <xf numFmtId="0" fontId="50" fillId="0" borderId="0" xfId="12" applyFont="1" applyProtection="1">
      <protection locked="0"/>
    </xf>
    <xf numFmtId="0" fontId="51" fillId="0" borderId="0" xfId="0" applyFont="1"/>
    <xf numFmtId="0" fontId="48" fillId="0" borderId="0" xfId="12" applyFont="1" applyBorder="1" applyProtection="1"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/>
      <protection locked="0"/>
    </xf>
    <xf numFmtId="0" fontId="4" fillId="0" borderId="0" xfId="17" applyFont="1" applyFill="1" applyBorder="1"/>
    <xf numFmtId="0" fontId="35" fillId="0" borderId="0" xfId="0" applyFont="1" applyFill="1"/>
    <xf numFmtId="167" fontId="31" fillId="0" borderId="1" xfId="0" applyNumberFormat="1" applyFont="1" applyFill="1" applyBorder="1"/>
    <xf numFmtId="0" fontId="34" fillId="0" borderId="4" xfId="0" applyFont="1" applyFill="1" applyBorder="1"/>
    <xf numFmtId="0" fontId="34" fillId="0" borderId="4" xfId="0" applyFont="1" applyFill="1" applyBorder="1" applyAlignment="1">
      <alignment horizontal="center"/>
    </xf>
    <xf numFmtId="167" fontId="31" fillId="0" borderId="5" xfId="0" applyNumberFormat="1" applyFont="1" applyFill="1" applyBorder="1"/>
    <xf numFmtId="0" fontId="34" fillId="5" borderId="4" xfId="0" applyFont="1" applyFill="1" applyBorder="1"/>
    <xf numFmtId="0" fontId="19" fillId="0" borderId="0" xfId="8" applyFill="1"/>
    <xf numFmtId="167" fontId="34" fillId="0" borderId="6" xfId="0" applyNumberFormat="1" applyFont="1" applyBorder="1"/>
    <xf numFmtId="0" fontId="24" fillId="0" borderId="1" xfId="3" applyFont="1" applyBorder="1" applyAlignment="1">
      <alignment horizontal="center"/>
    </xf>
    <xf numFmtId="0" fontId="24" fillId="0" borderId="6" xfId="3" applyFont="1" applyBorder="1" applyAlignment="1">
      <alignment horizontal="center"/>
    </xf>
    <xf numFmtId="0" fontId="53" fillId="8" borderId="0" xfId="0" applyFont="1" applyFill="1"/>
    <xf numFmtId="0" fontId="53" fillId="5" borderId="0" xfId="0" applyFont="1" applyFill="1"/>
    <xf numFmtId="0" fontId="53" fillId="5" borderId="4" xfId="0" applyFont="1" applyFill="1" applyBorder="1"/>
    <xf numFmtId="0" fontId="44" fillId="0" borderId="1" xfId="17" applyFont="1" applyBorder="1"/>
    <xf numFmtId="0" fontId="43" fillId="0" borderId="0" xfId="12" applyFont="1" applyProtection="1">
      <protection locked="0"/>
    </xf>
    <xf numFmtId="0" fontId="24" fillId="5" borderId="0" xfId="3" applyFont="1" applyFill="1" applyBorder="1"/>
    <xf numFmtId="167" fontId="24" fillId="5" borderId="0" xfId="3" applyNumberFormat="1" applyFont="1" applyFill="1" applyBorder="1" applyAlignment="1">
      <alignment horizontal="center"/>
    </xf>
    <xf numFmtId="0" fontId="26" fillId="0" borderId="0" xfId="3" applyFont="1" applyBorder="1" applyAlignment="1">
      <alignment horizontal="center"/>
    </xf>
    <xf numFmtId="168" fontId="24" fillId="0" borderId="0" xfId="27" applyNumberFormat="1" applyFont="1" applyAlignment="1">
      <alignment horizontal="center"/>
    </xf>
    <xf numFmtId="168" fontId="24" fillId="0" borderId="0" xfId="27" applyNumberFormat="1" applyFont="1" applyAlignment="1" applyProtection="1">
      <alignment horizontal="left"/>
    </xf>
    <xf numFmtId="0" fontId="3" fillId="0" borderId="0" xfId="17" applyFont="1" applyBorder="1"/>
    <xf numFmtId="167" fontId="26" fillId="0" borderId="0" xfId="12" applyNumberFormat="1" applyFont="1" applyFill="1" applyProtection="1"/>
    <xf numFmtId="0" fontId="26" fillId="0" borderId="0" xfId="3" applyFont="1" applyBorder="1"/>
    <xf numFmtId="167" fontId="26" fillId="0" borderId="0" xfId="3" applyNumberFormat="1" applyFont="1" applyBorder="1" applyAlignment="1">
      <alignment horizontal="center"/>
    </xf>
    <xf numFmtId="0" fontId="26" fillId="8" borderId="0" xfId="12" applyFont="1" applyFill="1" applyProtection="1">
      <protection locked="0"/>
    </xf>
    <xf numFmtId="0" fontId="26" fillId="8" borderId="0" xfId="12" applyFont="1" applyFill="1" applyBorder="1" applyAlignment="1" applyProtection="1">
      <alignment horizontal="center" vertical="center"/>
      <protection locked="0"/>
    </xf>
    <xf numFmtId="0" fontId="26" fillId="8" borderId="0" xfId="12" applyFont="1" applyFill="1" applyAlignment="1" applyProtection="1">
      <alignment horizontal="center" vertical="center"/>
      <protection locked="0"/>
    </xf>
    <xf numFmtId="167" fontId="26" fillId="8" borderId="0" xfId="12" applyNumberFormat="1" applyFont="1" applyFill="1" applyProtection="1"/>
    <xf numFmtId="0" fontId="26" fillId="0" borderId="1" xfId="3" applyFont="1" applyBorder="1" applyAlignment="1">
      <alignment horizontal="center"/>
    </xf>
    <xf numFmtId="0" fontId="24" fillId="0" borderId="4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167" fontId="24" fillId="0" borderId="4" xfId="3" applyNumberFormat="1" applyFont="1" applyBorder="1" applyAlignment="1">
      <alignment horizontal="center"/>
    </xf>
    <xf numFmtId="0" fontId="26" fillId="5" borderId="1" xfId="0" applyFont="1" applyFill="1" applyBorder="1" applyAlignment="1" applyProtection="1">
      <alignment horizontal="left"/>
      <protection locked="0"/>
    </xf>
    <xf numFmtId="0" fontId="26" fillId="5" borderId="0" xfId="0" applyFont="1" applyFill="1" applyAlignment="1" applyProtection="1">
      <alignment horizontal="center"/>
      <protection locked="0"/>
    </xf>
    <xf numFmtId="167" fontId="26" fillId="5" borderId="0" xfId="0" applyNumberFormat="1" applyFont="1" applyFill="1" applyAlignment="1" applyProtection="1">
      <alignment horizontal="left"/>
    </xf>
    <xf numFmtId="0" fontId="23" fillId="0" borderId="0" xfId="7" applyFont="1" applyFill="1" applyProtection="1">
      <protection locked="0"/>
    </xf>
    <xf numFmtId="0" fontId="22" fillId="0" borderId="4" xfId="7" applyFont="1" applyBorder="1" applyAlignment="1" applyProtection="1">
      <alignment horizontal="right"/>
      <protection locked="0"/>
    </xf>
    <xf numFmtId="0" fontId="24" fillId="5" borderId="4" xfId="0" applyFont="1" applyFill="1" applyBorder="1" applyAlignment="1" applyProtection="1">
      <alignment horizontal="right"/>
    </xf>
    <xf numFmtId="167" fontId="36" fillId="0" borderId="5" xfId="7" applyNumberFormat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36" fillId="0" borderId="0" xfId="7" applyFill="1" applyAlignment="1" applyProtection="1">
      <alignment horizontal="right"/>
      <protection locked="0"/>
    </xf>
    <xf numFmtId="0" fontId="22" fillId="0" borderId="0" xfId="7" applyFont="1" applyAlignment="1" applyProtection="1">
      <alignment horizontal="right"/>
      <protection locked="0"/>
    </xf>
    <xf numFmtId="0" fontId="24" fillId="5" borderId="0" xfId="0" applyFont="1" applyFill="1" applyAlignment="1" applyProtection="1">
      <alignment horizontal="right"/>
    </xf>
    <xf numFmtId="167" fontId="36" fillId="0" borderId="1" xfId="7" applyNumberFormat="1" applyFill="1" applyBorder="1" applyAlignment="1" applyProtection="1">
      <alignment horizontal="right"/>
    </xf>
    <xf numFmtId="0" fontId="23" fillId="0" borderId="0" xfId="7" applyFont="1" applyFill="1" applyAlignment="1" applyProtection="1">
      <alignment horizontal="center"/>
      <protection locked="0"/>
    </xf>
    <xf numFmtId="0" fontId="3" fillId="5" borderId="0" xfId="17" applyFont="1" applyFill="1" applyBorder="1"/>
    <xf numFmtId="0" fontId="3" fillId="0" borderId="1" xfId="17" applyFont="1" applyBorder="1"/>
    <xf numFmtId="0" fontId="22" fillId="5" borderId="0" xfId="7" applyFont="1" applyFill="1" applyAlignment="1" applyProtection="1">
      <protection locked="0"/>
    </xf>
    <xf numFmtId="167" fontId="36" fillId="5" borderId="1" xfId="7" applyNumberFormat="1" applyFill="1" applyBorder="1" applyProtection="1"/>
    <xf numFmtId="168" fontId="24" fillId="0" borderId="4" xfId="27" applyNumberFormat="1" applyFont="1" applyBorder="1" applyAlignment="1">
      <alignment horizontal="center"/>
    </xf>
    <xf numFmtId="0" fontId="26" fillId="5" borderId="0" xfId="3" applyFont="1" applyFill="1" applyAlignment="1">
      <alignment horizontal="center"/>
    </xf>
    <xf numFmtId="168" fontId="24" fillId="5" borderId="0" xfId="27" applyNumberFormat="1" applyFont="1" applyFill="1" applyAlignment="1">
      <alignment horizontal="center"/>
    </xf>
    <xf numFmtId="166" fontId="49" fillId="6" borderId="0" xfId="0" applyNumberFormat="1" applyFont="1" applyFill="1" applyBorder="1" applyAlignment="1" applyProtection="1">
      <protection locked="0"/>
    </xf>
    <xf numFmtId="0" fontId="50" fillId="5" borderId="0" xfId="0" applyFont="1" applyFill="1" applyProtection="1"/>
    <xf numFmtId="166" fontId="50" fillId="5" borderId="0" xfId="0" applyNumberFormat="1" applyFont="1" applyFill="1" applyProtection="1"/>
    <xf numFmtId="166" fontId="50" fillId="0" borderId="0" xfId="0" applyNumberFormat="1" applyFont="1" applyProtection="1"/>
    <xf numFmtId="166" fontId="50" fillId="6" borderId="0" xfId="0" applyNumberFormat="1" applyFont="1" applyFill="1" applyProtection="1">
      <protection locked="0"/>
    </xf>
    <xf numFmtId="0" fontId="48" fillId="11" borderId="0" xfId="9" applyFont="1" applyProtection="1"/>
    <xf numFmtId="168" fontId="50" fillId="0" borderId="0" xfId="27" applyNumberFormat="1" applyFont="1" applyAlignment="1">
      <alignment horizontal="center"/>
    </xf>
    <xf numFmtId="167" fontId="50" fillId="0" borderId="0" xfId="0" applyNumberFormat="1" applyFont="1" applyAlignment="1" applyProtection="1">
      <alignment horizontal="left"/>
    </xf>
    <xf numFmtId="166" fontId="50" fillId="0" borderId="0" xfId="0" applyNumberFormat="1" applyFont="1" applyFill="1" applyAlignment="1" applyProtection="1">
      <alignment horizontal="left"/>
    </xf>
    <xf numFmtId="0" fontId="50" fillId="0" borderId="0" xfId="0" applyFont="1" applyFill="1" applyAlignment="1" applyProtection="1">
      <alignment horizontal="left"/>
    </xf>
    <xf numFmtId="167" fontId="52" fillId="0" borderId="0" xfId="0" applyNumberFormat="1" applyFont="1" applyAlignment="1" applyProtection="1">
      <alignment horizontal="left"/>
    </xf>
    <xf numFmtId="0" fontId="50" fillId="0" borderId="0" xfId="0" applyFont="1" applyProtection="1">
      <protection locked="0"/>
    </xf>
    <xf numFmtId="0" fontId="24" fillId="0" borderId="4" xfId="3" applyFont="1" applyBorder="1"/>
    <xf numFmtId="0" fontId="26" fillId="0" borderId="4" xfId="3" applyFont="1" applyBorder="1" applyAlignment="1">
      <alignment horizontal="center"/>
    </xf>
    <xf numFmtId="0" fontId="24" fillId="5" borderId="1" xfId="3" applyFont="1" applyFill="1" applyBorder="1" applyAlignment="1">
      <alignment horizontal="center"/>
    </xf>
    <xf numFmtId="0" fontId="2" fillId="5" borderId="0" xfId="17" applyFont="1" applyFill="1" applyBorder="1"/>
    <xf numFmtId="0" fontId="34" fillId="5" borderId="1" xfId="0" applyFont="1" applyFill="1" applyBorder="1" applyProtection="1">
      <protection locked="0"/>
    </xf>
    <xf numFmtId="0" fontId="31" fillId="4" borderId="1" xfId="0" applyFont="1" applyFill="1" applyBorder="1" applyProtection="1">
      <protection locked="0"/>
    </xf>
    <xf numFmtId="167" fontId="34" fillId="0" borderId="1" xfId="0" applyNumberFormat="1" applyFont="1" applyFill="1" applyBorder="1" applyProtection="1"/>
    <xf numFmtId="0" fontId="34" fillId="5" borderId="1" xfId="0" applyFont="1" applyFill="1" applyBorder="1" applyProtection="1"/>
    <xf numFmtId="166" fontId="31" fillId="6" borderId="1" xfId="0" applyNumberFormat="1" applyFont="1" applyFill="1" applyBorder="1" applyAlignment="1" applyProtection="1">
      <protection locked="0"/>
    </xf>
    <xf numFmtId="166" fontId="24" fillId="6" borderId="1" xfId="0" applyNumberFormat="1" applyFont="1" applyFill="1" applyBorder="1" applyProtection="1">
      <protection locked="0"/>
    </xf>
    <xf numFmtId="167" fontId="24" fillId="0" borderId="1" xfId="0" applyNumberFormat="1" applyFont="1" applyFill="1" applyBorder="1" applyProtection="1"/>
    <xf numFmtId="166" fontId="34" fillId="5" borderId="1" xfId="0" applyNumberFormat="1" applyFont="1" applyFill="1" applyBorder="1" applyProtection="1"/>
    <xf numFmtId="166" fontId="34" fillId="4" borderId="1" xfId="0" applyNumberFormat="1" applyFont="1" applyFill="1" applyBorder="1" applyProtection="1">
      <protection locked="0"/>
    </xf>
    <xf numFmtId="166" fontId="34" fillId="3" borderId="1" xfId="0" applyNumberFormat="1" applyFont="1" applyFill="1" applyBorder="1" applyProtection="1"/>
    <xf numFmtId="167" fontId="24" fillId="0" borderId="1" xfId="3" applyNumberFormat="1" applyFont="1" applyBorder="1" applyAlignment="1">
      <alignment horizontal="center"/>
    </xf>
    <xf numFmtId="167" fontId="34" fillId="0" borderId="1" xfId="0" applyNumberFormat="1" applyFont="1" applyBorder="1" applyProtection="1"/>
    <xf numFmtId="0" fontId="34" fillId="0" borderId="1" xfId="0" applyFont="1" applyBorder="1" applyProtection="1">
      <protection locked="0"/>
    </xf>
    <xf numFmtId="0" fontId="24" fillId="0" borderId="0" xfId="3" applyFont="1" applyAlignment="1">
      <alignment horizontal="center"/>
    </xf>
    <xf numFmtId="15" fontId="33" fillId="0" borderId="0" xfId="12" applyNumberFormat="1" applyFont="1" applyAlignment="1" applyProtection="1">
      <alignment horizontal="left"/>
      <protection locked="0"/>
    </xf>
    <xf numFmtId="0" fontId="17" fillId="0" borderId="0" xfId="12" applyAlignment="1" applyProtection="1">
      <alignment horizontal="left"/>
      <protection locked="0"/>
    </xf>
    <xf numFmtId="15" fontId="35" fillId="0" borderId="0" xfId="0" applyNumberFormat="1" applyFont="1" applyAlignment="1" applyProtection="1">
      <alignment horizontal="right"/>
      <protection locked="0"/>
    </xf>
    <xf numFmtId="0" fontId="39" fillId="0" borderId="0" xfId="0" applyFont="1" applyAlignment="1" applyProtection="1">
      <alignment horizontal="right"/>
      <protection locked="0"/>
    </xf>
    <xf numFmtId="15" fontId="33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3" fillId="0" borderId="0" xfId="0" applyFont="1"/>
    <xf numFmtId="0" fontId="34" fillId="0" borderId="0" xfId="0" applyFont="1"/>
    <xf numFmtId="0" fontId="34" fillId="2" borderId="1" xfId="0" applyFont="1" applyFill="1" applyBorder="1"/>
    <xf numFmtId="0" fontId="35" fillId="8" borderId="0" xfId="7" applyFont="1" applyFill="1" applyAlignment="1" applyProtection="1">
      <alignment horizontal="center"/>
      <protection locked="0"/>
    </xf>
    <xf numFmtId="166" fontId="34" fillId="8" borderId="0" xfId="7" applyNumberFormat="1" applyFont="1" applyFill="1" applyProtection="1">
      <protection locked="0"/>
    </xf>
    <xf numFmtId="0" fontId="34" fillId="0" borderId="0" xfId="7" applyFont="1" applyFill="1" applyProtection="1">
      <protection locked="0"/>
    </xf>
    <xf numFmtId="167" fontId="34" fillId="0" borderId="1" xfId="7" applyNumberFormat="1" applyFont="1" applyFill="1" applyBorder="1" applyProtection="1">
      <protection locked="0"/>
    </xf>
    <xf numFmtId="0" fontId="40" fillId="0" borderId="0" xfId="0" applyFont="1"/>
    <xf numFmtId="0" fontId="39" fillId="0" borderId="0" xfId="0" applyFont="1"/>
    <xf numFmtId="0" fontId="55" fillId="0" borderId="0" xfId="0" applyFont="1"/>
    <xf numFmtId="0" fontId="1" fillId="0" borderId="0" xfId="17" applyFont="1" applyBorder="1"/>
    <xf numFmtId="0" fontId="56" fillId="0" borderId="0" xfId="0" applyFont="1"/>
    <xf numFmtId="167" fontId="34" fillId="5" borderId="0" xfId="0" applyNumberFormat="1" applyFont="1" applyFill="1"/>
    <xf numFmtId="166" fontId="31" fillId="4" borderId="1" xfId="0" applyNumberFormat="1" applyFont="1" applyFill="1" applyBorder="1" applyProtection="1">
      <protection locked="0"/>
    </xf>
    <xf numFmtId="2" fontId="31" fillId="4" borderId="1" xfId="0" applyNumberFormat="1" applyFont="1" applyFill="1" applyBorder="1" applyProtection="1">
      <protection locked="0"/>
    </xf>
    <xf numFmtId="166" fontId="31" fillId="4" borderId="0" xfId="0" applyNumberFormat="1" applyFont="1" applyFill="1" applyProtection="1">
      <protection locked="0"/>
    </xf>
    <xf numFmtId="166" fontId="31" fillId="4" borderId="1" xfId="0" applyNumberFormat="1" applyFont="1" applyFill="1" applyBorder="1"/>
    <xf numFmtId="15" fontId="33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4" fillId="0" borderId="0" xfId="3" applyFont="1" applyAlignment="1">
      <alignment horizontal="center"/>
    </xf>
    <xf numFmtId="15" fontId="33" fillId="0" borderId="0" xfId="12" applyNumberFormat="1" applyFont="1" applyAlignment="1" applyProtection="1">
      <alignment horizontal="left"/>
      <protection locked="0"/>
    </xf>
    <xf numFmtId="0" fontId="17" fillId="0" borderId="0" xfId="12" applyAlignment="1" applyProtection="1">
      <alignment horizontal="left"/>
      <protection locked="0"/>
    </xf>
    <xf numFmtId="0" fontId="33" fillId="0" borderId="0" xfId="12" applyFont="1" applyAlignment="1" applyProtection="1">
      <alignment horizontal="left"/>
      <protection locked="0"/>
    </xf>
    <xf numFmtId="15" fontId="35" fillId="0" borderId="0" xfId="0" applyNumberFormat="1" applyFont="1" applyAlignment="1" applyProtection="1">
      <alignment horizontal="right"/>
      <protection locked="0"/>
    </xf>
    <xf numFmtId="0" fontId="39" fillId="0" borderId="0" xfId="0" applyFont="1" applyAlignment="1" applyProtection="1">
      <alignment horizontal="right"/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26" fillId="0" borderId="0" xfId="3" applyFont="1" applyAlignment="1">
      <alignment horizontal="center"/>
    </xf>
    <xf numFmtId="15" fontId="33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/>
    </xf>
    <xf numFmtId="0" fontId="34" fillId="2" borderId="1" xfId="0" applyFont="1" applyFill="1" applyBorder="1"/>
  </cellXfs>
  <cellStyles count="28">
    <cellStyle name="40% - Accent1" xfId="8" builtinId="31"/>
    <cellStyle name="40% - Accent1 2" xfId="13" xr:uid="{00000000-0005-0000-0000-000001000000}"/>
    <cellStyle name="40% - Accent2" xfId="11" builtinId="35"/>
    <cellStyle name="40% - Accent5" xfId="10" builtinId="47"/>
    <cellStyle name="60% - Accent3" xfId="9" builtinId="40"/>
    <cellStyle name="60% - Accent3 2" xfId="14" xr:uid="{00000000-0005-0000-0000-000005000000}"/>
    <cellStyle name="60% - Accent6" xfId="16" builtinId="52"/>
    <cellStyle name="Comma" xfId="27" builtinId="3"/>
    <cellStyle name="Normal" xfId="0" builtinId="0"/>
    <cellStyle name="Normal 2" xfId="1" xr:uid="{00000000-0005-0000-0000-000008000000}"/>
    <cellStyle name="Normal 2 10" xfId="24" xr:uid="{00000000-0005-0000-0000-000001000000}"/>
    <cellStyle name="Normal 2 11" xfId="25" xr:uid="{00000000-0005-0000-0000-000001000000}"/>
    <cellStyle name="Normal 2 12" xfId="26" xr:uid="{00000000-0005-0000-0000-000001000000}"/>
    <cellStyle name="Normal 2 2" xfId="3" xr:uid="{00000000-0005-0000-0000-000009000000}"/>
    <cellStyle name="Normal 2 3" xfId="7" xr:uid="{00000000-0005-0000-0000-00000A000000}"/>
    <cellStyle name="Normal 2 4" xfId="18" xr:uid="{00000000-0005-0000-0000-000001000000}"/>
    <cellStyle name="Normal 2 5" xfId="19" xr:uid="{00000000-0005-0000-0000-000001000000}"/>
    <cellStyle name="Normal 2 6" xfId="20" xr:uid="{00000000-0005-0000-0000-000001000000}"/>
    <cellStyle name="Normal 2 7" xfId="21" xr:uid="{00000000-0005-0000-0000-000001000000}"/>
    <cellStyle name="Normal 2 8" xfId="22" xr:uid="{00000000-0005-0000-0000-000001000000}"/>
    <cellStyle name="Normal 2 9" xfId="23" xr:uid="{00000000-0005-0000-0000-000001000000}"/>
    <cellStyle name="Normal 3" xfId="4" xr:uid="{00000000-0005-0000-0000-00000B000000}"/>
    <cellStyle name="Normal 3 2" xfId="15" xr:uid="{00000000-0005-0000-0000-00000C000000}"/>
    <cellStyle name="Normal 4" xfId="5" xr:uid="{00000000-0005-0000-0000-00000D000000}"/>
    <cellStyle name="Normal 5" xfId="6" xr:uid="{00000000-0005-0000-0000-00000E000000}"/>
    <cellStyle name="Normal 6" xfId="12" xr:uid="{00000000-0005-0000-0000-00000F000000}"/>
    <cellStyle name="Normal 7" xfId="17" xr:uid="{00000000-0005-0000-0000-00003A000000}"/>
    <cellStyle name="Standard 2" xfId="2" xr:uid="{00000000-0005-0000-0000-000010000000}"/>
  </cellStyles>
  <dxfs count="0"/>
  <tableStyles count="0" defaultTableStyle="TableStyleMedium9"/>
  <colors>
    <mruColors>
      <color rgb="FF00FF00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workbookViewId="0"/>
  </sheetViews>
  <sheetFormatPr defaultRowHeight="12.75" x14ac:dyDescent="0.2"/>
  <cols>
    <col min="6" max="11" width="7.7109375" customWidth="1"/>
    <col min="13" max="18" width="7.7109375" customWidth="1"/>
  </cols>
  <sheetData>
    <row r="1" spans="1:19" x14ac:dyDescent="0.2">
      <c r="A1" s="283" t="s">
        <v>104</v>
      </c>
    </row>
    <row r="3" spans="1:19" ht="15" x14ac:dyDescent="0.25">
      <c r="A3" s="283" t="s">
        <v>105</v>
      </c>
      <c r="F3" s="230"/>
      <c r="G3" s="230"/>
      <c r="H3" s="230"/>
      <c r="I3" s="230"/>
      <c r="J3" s="230"/>
      <c r="K3" s="230"/>
    </row>
    <row r="5" spans="1:19" ht="15" x14ac:dyDescent="0.25">
      <c r="G5" s="1"/>
      <c r="N5" s="1"/>
    </row>
    <row r="8" spans="1:19" x14ac:dyDescent="0.2">
      <c r="L8" s="231"/>
      <c r="S8" s="231"/>
    </row>
    <row r="9" spans="1:19" x14ac:dyDescent="0.2">
      <c r="L9" s="231"/>
      <c r="S9" s="231"/>
    </row>
    <row r="10" spans="1:19" x14ac:dyDescent="0.2">
      <c r="L10" s="231"/>
      <c r="S10" s="231"/>
    </row>
    <row r="11" spans="1:19" x14ac:dyDescent="0.2">
      <c r="L11" s="23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3930-3361-4855-8D2B-5F4BB3040BE8}">
  <sheetPr>
    <pageSetUpPr fitToPage="1"/>
  </sheetPr>
  <dimension ref="A1:BP19"/>
  <sheetViews>
    <sheetView workbookViewId="0">
      <pane xSplit="2" topLeftCell="C1" activePane="topRight" state="frozen"/>
      <selection pane="topRight" activeCell="A7" sqref="A7"/>
    </sheetView>
  </sheetViews>
  <sheetFormatPr defaultColWidth="9.140625" defaultRowHeight="15" x14ac:dyDescent="0.25"/>
  <cols>
    <col min="1" max="1" width="6.42578125" style="3" customWidth="1"/>
    <col min="2" max="2" width="17.28515625" style="3" customWidth="1"/>
    <col min="3" max="3" width="26.140625" style="3" customWidth="1"/>
    <col min="4" max="4" width="16.42578125" style="3" customWidth="1"/>
    <col min="5" max="5" width="13.5703125" style="3" customWidth="1"/>
    <col min="6" max="7" width="7.7109375" style="3" hidden="1" customWidth="1"/>
    <col min="8" max="11" width="7.7109375" style="3" customWidth="1"/>
    <col min="12" max="12" width="3.28515625" style="3" customWidth="1"/>
    <col min="13" max="18" width="7.7109375" style="3" customWidth="1"/>
    <col min="19" max="19" width="3.28515625" style="3" customWidth="1"/>
    <col min="20" max="29" width="7.7109375" style="3" customWidth="1"/>
    <col min="30" max="30" width="3.28515625" style="3" customWidth="1"/>
    <col min="31" max="32" width="7.7109375" style="3" customWidth="1"/>
    <col min="33" max="33" width="9.42578125" style="3" customWidth="1"/>
    <col min="34" max="34" width="3.42578125" style="5" customWidth="1"/>
    <col min="35" max="44" width="7.7109375" style="5" customWidth="1"/>
    <col min="45" max="45" width="3.28515625" style="5" customWidth="1"/>
    <col min="46" max="52" width="7.7109375" style="5" customWidth="1"/>
    <col min="53" max="53" width="7.7109375" style="3" customWidth="1"/>
    <col min="54" max="54" width="2.7109375" style="5" customWidth="1"/>
    <col min="55" max="55" width="7.42578125" style="233" customWidth="1"/>
    <col min="56" max="57" width="7.7109375" style="233" customWidth="1"/>
    <col min="58" max="58" width="10.42578125" style="3" customWidth="1"/>
    <col min="59" max="59" width="2.7109375" style="5" customWidth="1"/>
    <col min="60" max="60" width="9.140625" style="3"/>
    <col min="61" max="61" width="2.28515625" style="3" customWidth="1"/>
    <col min="62" max="62" width="9.140625" style="3"/>
    <col min="63" max="63" width="12.42578125" style="3" customWidth="1"/>
    <col min="64" max="16384" width="9.140625" style="3"/>
  </cols>
  <sheetData>
    <row r="1" spans="1:68" ht="15.75" x14ac:dyDescent="0.25">
      <c r="A1" s="52" t="str">
        <f>CompDetail!A1</f>
        <v>NSW State Championships</v>
      </c>
      <c r="D1" s="4" t="s">
        <v>0</v>
      </c>
      <c r="E1" s="4" t="s">
        <v>257</v>
      </c>
      <c r="G1" s="5"/>
      <c r="H1" s="6"/>
      <c r="I1" s="6"/>
      <c r="J1" s="6"/>
      <c r="K1" s="6"/>
      <c r="L1" s="6"/>
      <c r="T1" s="6"/>
      <c r="U1" s="6"/>
      <c r="V1" s="6"/>
      <c r="W1" s="5"/>
      <c r="Z1" s="6"/>
      <c r="AA1" s="6"/>
      <c r="AB1" s="6"/>
      <c r="AC1" s="6"/>
      <c r="AD1" s="6"/>
      <c r="AH1" s="3"/>
      <c r="AI1" s="6"/>
      <c r="AJ1" s="6"/>
      <c r="AK1" s="6"/>
      <c r="AM1" s="3"/>
      <c r="AN1" s="3"/>
      <c r="AO1" s="3"/>
      <c r="AP1" s="6"/>
      <c r="AQ1" s="6"/>
      <c r="AR1" s="6"/>
      <c r="AS1" s="7"/>
      <c r="AT1" s="3"/>
      <c r="AU1" s="3"/>
      <c r="AV1" s="3"/>
      <c r="AW1" s="3"/>
      <c r="AX1" s="3"/>
      <c r="AY1" s="3"/>
      <c r="AZ1" s="3"/>
      <c r="BI1" s="5"/>
      <c r="BK1" s="8">
        <f ca="1">NOW()</f>
        <v>43266.404079513886</v>
      </c>
    </row>
    <row r="2" spans="1:68" ht="15.75" x14ac:dyDescent="0.25">
      <c r="A2" s="53"/>
      <c r="D2" s="4"/>
      <c r="E2" s="4" t="s">
        <v>259</v>
      </c>
      <c r="G2" s="5"/>
      <c r="W2" s="5"/>
      <c r="AH2" s="3"/>
      <c r="AI2" s="3"/>
      <c r="AJ2" s="3"/>
      <c r="AK2" s="3"/>
      <c r="AM2" s="3"/>
      <c r="AN2" s="3"/>
      <c r="AO2" s="3"/>
      <c r="AP2" s="3"/>
      <c r="AQ2" s="3"/>
      <c r="AR2" s="3"/>
      <c r="AS2" s="10"/>
      <c r="AT2" s="3"/>
      <c r="AU2" s="3"/>
      <c r="AV2" s="3"/>
      <c r="AW2" s="3"/>
      <c r="AX2" s="3"/>
      <c r="AY2" s="3"/>
      <c r="AZ2" s="3"/>
      <c r="BI2" s="5"/>
      <c r="BK2" s="11">
        <f ca="1">NOW()</f>
        <v>43266.404079513886</v>
      </c>
    </row>
    <row r="3" spans="1:68" ht="15.75" x14ac:dyDescent="0.25">
      <c r="A3" s="520" t="str">
        <f>CompDetail!A3</f>
        <v>June 9 to 11 2018</v>
      </c>
      <c r="B3" s="521"/>
      <c r="D3" s="4"/>
      <c r="E3" s="3" t="s">
        <v>258</v>
      </c>
      <c r="F3" s="12"/>
      <c r="G3" s="13"/>
      <c r="H3" s="12"/>
      <c r="I3" s="13"/>
      <c r="J3" s="13"/>
      <c r="K3" s="13"/>
      <c r="L3" s="5"/>
      <c r="M3" s="14"/>
      <c r="N3" s="14"/>
      <c r="O3" s="14"/>
      <c r="P3" s="14"/>
      <c r="Q3" s="14"/>
      <c r="R3" s="14"/>
      <c r="S3" s="5"/>
      <c r="T3" s="15"/>
      <c r="U3" s="16"/>
      <c r="V3" s="16"/>
      <c r="W3" s="16"/>
      <c r="X3" s="16"/>
      <c r="Y3" s="16"/>
      <c r="Z3" s="16"/>
      <c r="AA3" s="16"/>
      <c r="AB3" s="16"/>
      <c r="AC3" s="16"/>
      <c r="AD3" s="5"/>
      <c r="AE3" s="14"/>
      <c r="AF3" s="14"/>
      <c r="AG3" s="14"/>
      <c r="AI3" s="15"/>
      <c r="AJ3" s="16"/>
      <c r="AK3" s="16"/>
      <c r="AL3" s="16"/>
      <c r="AM3" s="16"/>
      <c r="AN3" s="16"/>
      <c r="AO3" s="16"/>
      <c r="AP3" s="16"/>
      <c r="AQ3" s="16"/>
      <c r="AR3" s="16"/>
      <c r="AT3" s="14"/>
      <c r="AU3" s="14"/>
      <c r="AV3" s="14"/>
      <c r="AW3" s="14"/>
      <c r="AX3" s="14"/>
      <c r="AY3" s="14"/>
      <c r="AZ3" s="14"/>
      <c r="BA3" s="14"/>
      <c r="BI3" s="5"/>
    </row>
    <row r="4" spans="1:68" ht="15.75" x14ac:dyDescent="0.25">
      <c r="A4" s="491"/>
      <c r="B4" s="492"/>
      <c r="D4" s="4"/>
      <c r="F4" s="17" t="s">
        <v>31</v>
      </c>
      <c r="G4" s="18"/>
      <c r="H4" s="17"/>
      <c r="I4" s="18"/>
      <c r="J4" s="18"/>
      <c r="K4" s="18"/>
      <c r="M4" s="19" t="s">
        <v>20</v>
      </c>
      <c r="N4" s="19"/>
      <c r="O4" s="19"/>
      <c r="P4" s="19"/>
      <c r="Q4" s="19"/>
      <c r="R4" s="19"/>
      <c r="T4" s="20" t="s">
        <v>31</v>
      </c>
      <c r="U4" s="21"/>
      <c r="V4" s="21"/>
      <c r="W4" s="21"/>
      <c r="X4" s="21"/>
      <c r="Y4" s="21"/>
      <c r="Z4" s="21"/>
      <c r="AA4" s="21"/>
      <c r="AB4" s="21"/>
      <c r="AC4" s="21"/>
      <c r="AE4" s="19" t="s">
        <v>20</v>
      </c>
      <c r="AF4" s="19"/>
      <c r="AG4" s="19"/>
      <c r="AH4" s="3"/>
      <c r="AI4" s="20" t="s">
        <v>31</v>
      </c>
      <c r="AJ4" s="21"/>
      <c r="AK4" s="21"/>
      <c r="AL4" s="21"/>
      <c r="AM4" s="21"/>
      <c r="AN4" s="21"/>
      <c r="AO4" s="21"/>
      <c r="AP4" s="21"/>
      <c r="AQ4" s="21"/>
      <c r="AR4" s="21"/>
      <c r="AT4" s="19" t="s">
        <v>20</v>
      </c>
      <c r="AU4" s="19"/>
      <c r="AV4" s="19"/>
      <c r="AW4" s="19"/>
      <c r="AX4" s="19"/>
      <c r="AY4" s="19"/>
      <c r="AZ4" s="19"/>
      <c r="BA4" s="19"/>
      <c r="BI4" s="5"/>
    </row>
    <row r="5" spans="1:68" ht="15.75" x14ac:dyDescent="0.25">
      <c r="A5" s="53"/>
      <c r="D5" s="4"/>
      <c r="G5" s="5"/>
      <c r="W5" s="5"/>
      <c r="AH5" s="3"/>
      <c r="AI5" s="3"/>
      <c r="AJ5" s="3"/>
      <c r="AK5" s="3"/>
      <c r="AM5" s="3"/>
      <c r="AN5" s="3"/>
      <c r="AO5" s="3"/>
      <c r="AP5" s="3"/>
      <c r="AQ5" s="3"/>
      <c r="AR5" s="3"/>
      <c r="AT5" s="3"/>
      <c r="AU5" s="3"/>
      <c r="AV5" s="3"/>
      <c r="AW5" s="3"/>
      <c r="AX5" s="3"/>
      <c r="AY5" s="3"/>
      <c r="AZ5" s="3"/>
      <c r="BI5" s="5"/>
    </row>
    <row r="6" spans="1:68" ht="15.75" x14ac:dyDescent="0.25">
      <c r="A6" s="53" t="s">
        <v>264</v>
      </c>
      <c r="B6" s="9"/>
      <c r="F6" s="9" t="s">
        <v>58</v>
      </c>
      <c r="G6" s="5" t="str">
        <f>E1</f>
        <v>A Deeks</v>
      </c>
      <c r="I6" s="9"/>
      <c r="M6" s="9" t="s">
        <v>58</v>
      </c>
      <c r="N6" s="3" t="str">
        <f>E1</f>
        <v>A Deeks</v>
      </c>
      <c r="T6" s="9" t="s">
        <v>57</v>
      </c>
      <c r="U6" s="3" t="str">
        <f>E2</f>
        <v>C Wicks</v>
      </c>
      <c r="W6" s="5"/>
      <c r="AE6" s="9" t="s">
        <v>57</v>
      </c>
      <c r="AF6" s="3" t="str">
        <f>E2</f>
        <v>C Wicks</v>
      </c>
      <c r="AH6" s="3"/>
      <c r="AI6" s="9" t="s">
        <v>59</v>
      </c>
      <c r="AJ6" s="3" t="str">
        <f>E3</f>
        <v>J Scott</v>
      </c>
      <c r="AK6" s="3"/>
      <c r="AM6" s="3"/>
      <c r="AN6" s="3"/>
      <c r="AO6" s="3"/>
      <c r="AP6" s="3"/>
      <c r="AQ6" s="3"/>
      <c r="AR6" s="3"/>
      <c r="AT6" s="9" t="s">
        <v>59</v>
      </c>
      <c r="AU6" s="3" t="str">
        <f>E3</f>
        <v>J Scott</v>
      </c>
      <c r="AV6" s="3"/>
      <c r="AW6" s="3"/>
      <c r="AX6" s="3"/>
      <c r="AY6" s="3"/>
      <c r="AZ6" s="9"/>
      <c r="BA6" s="9"/>
      <c r="BF6" s="9" t="s">
        <v>21</v>
      </c>
      <c r="BI6" s="5"/>
    </row>
    <row r="7" spans="1:68" ht="15.75" x14ac:dyDescent="0.25">
      <c r="A7" s="53" t="s">
        <v>64</v>
      </c>
      <c r="B7" s="118" t="s">
        <v>236</v>
      </c>
      <c r="G7" s="5"/>
      <c r="W7" s="5"/>
      <c r="AI7" s="3"/>
      <c r="AJ7" s="3"/>
      <c r="AK7" s="3"/>
      <c r="AM7" s="3"/>
      <c r="AN7" s="3"/>
      <c r="AO7" s="3"/>
      <c r="AP7" s="3"/>
      <c r="AQ7" s="3"/>
      <c r="AR7" s="3"/>
      <c r="AT7" s="3"/>
      <c r="AU7" s="3"/>
      <c r="AV7" s="3"/>
      <c r="AW7" s="3"/>
      <c r="AX7" s="3"/>
      <c r="AY7" s="3"/>
      <c r="AZ7" s="3"/>
      <c r="BC7" s="486"/>
      <c r="BD7" s="486"/>
      <c r="BE7" s="486"/>
      <c r="BI7" s="5"/>
    </row>
    <row r="8" spans="1:68" x14ac:dyDescent="0.25">
      <c r="F8" s="22" t="s">
        <v>35</v>
      </c>
      <c r="K8" s="6"/>
      <c r="L8" s="23"/>
      <c r="M8" s="22" t="s">
        <v>35</v>
      </c>
      <c r="N8" s="24"/>
      <c r="O8" s="24"/>
      <c r="P8" s="24"/>
      <c r="Q8" s="22"/>
      <c r="S8" s="5"/>
      <c r="T8" s="3" t="s">
        <v>17</v>
      </c>
      <c r="U8" s="6"/>
      <c r="V8" s="6"/>
      <c r="W8" s="6"/>
      <c r="X8" s="6"/>
      <c r="Y8" s="6"/>
      <c r="Z8" s="6"/>
      <c r="AA8" s="6"/>
      <c r="AB8" s="6"/>
      <c r="AC8" s="6"/>
      <c r="AD8" s="23"/>
      <c r="AE8" s="9"/>
      <c r="AF8" s="3" t="s">
        <v>19</v>
      </c>
      <c r="AG8" s="9" t="s">
        <v>22</v>
      </c>
      <c r="AI8" s="3"/>
      <c r="AJ8" s="6"/>
      <c r="AK8" s="6"/>
      <c r="AL8" s="6"/>
      <c r="AM8" s="6"/>
      <c r="AN8" s="6"/>
      <c r="AO8" s="6"/>
      <c r="AP8" s="6"/>
      <c r="AQ8" s="6"/>
      <c r="AR8" s="6"/>
      <c r="AT8" s="3"/>
      <c r="AU8" s="3"/>
      <c r="AV8" s="3"/>
      <c r="AW8" s="3"/>
      <c r="AX8" s="3"/>
      <c r="AY8" s="3"/>
      <c r="AZ8" s="3"/>
      <c r="BA8" s="22" t="s">
        <v>56</v>
      </c>
      <c r="BF8" s="119" t="s">
        <v>61</v>
      </c>
      <c r="BG8" s="120"/>
      <c r="BH8" s="119" t="s">
        <v>62</v>
      </c>
      <c r="BI8" s="120"/>
      <c r="BJ8" s="121" t="s">
        <v>63</v>
      </c>
      <c r="BK8" s="28"/>
    </row>
    <row r="9" spans="1:68" s="24" customFormat="1" x14ac:dyDescent="0.25">
      <c r="A9" s="29" t="s">
        <v>33</v>
      </c>
      <c r="B9" s="29" t="s">
        <v>34</v>
      </c>
      <c r="C9" s="29" t="s">
        <v>35</v>
      </c>
      <c r="D9" s="29" t="s">
        <v>36</v>
      </c>
      <c r="E9" s="29" t="s">
        <v>37</v>
      </c>
      <c r="F9" s="30" t="s">
        <v>7</v>
      </c>
      <c r="G9" s="30" t="s">
        <v>8</v>
      </c>
      <c r="H9" s="30" t="s">
        <v>9</v>
      </c>
      <c r="I9" s="30" t="s">
        <v>10</v>
      </c>
      <c r="J9" s="30" t="s">
        <v>11</v>
      </c>
      <c r="K9" s="30" t="s">
        <v>35</v>
      </c>
      <c r="L9" s="31"/>
      <c r="M9" s="30" t="s">
        <v>7</v>
      </c>
      <c r="N9" s="30" t="s">
        <v>8</v>
      </c>
      <c r="O9" s="30" t="s">
        <v>9</v>
      </c>
      <c r="P9" s="30" t="s">
        <v>10</v>
      </c>
      <c r="Q9" s="30" t="s">
        <v>11</v>
      </c>
      <c r="R9" s="30" t="s">
        <v>35</v>
      </c>
      <c r="S9" s="54"/>
      <c r="T9" s="29" t="s">
        <v>38</v>
      </c>
      <c r="U9" s="29" t="s">
        <v>39</v>
      </c>
      <c r="V9" s="29" t="s">
        <v>26</v>
      </c>
      <c r="W9" s="29" t="s">
        <v>69</v>
      </c>
      <c r="X9" s="29" t="s">
        <v>83</v>
      </c>
      <c r="Y9" s="29" t="s">
        <v>84</v>
      </c>
      <c r="Z9" s="29" t="s">
        <v>40</v>
      </c>
      <c r="AA9" s="29" t="s">
        <v>70</v>
      </c>
      <c r="AB9" s="29" t="s">
        <v>47</v>
      </c>
      <c r="AC9" s="32" t="s">
        <v>46</v>
      </c>
      <c r="AD9" s="115"/>
      <c r="AE9" s="29" t="s">
        <v>45</v>
      </c>
      <c r="AF9" s="29" t="s">
        <v>18</v>
      </c>
      <c r="AG9" s="32" t="s">
        <v>24</v>
      </c>
      <c r="AH9" s="31"/>
      <c r="AI9" s="29" t="s">
        <v>38</v>
      </c>
      <c r="AJ9" s="29" t="s">
        <v>39</v>
      </c>
      <c r="AK9" s="29" t="s">
        <v>26</v>
      </c>
      <c r="AL9" s="29" t="s">
        <v>69</v>
      </c>
      <c r="AM9" s="29" t="s">
        <v>83</v>
      </c>
      <c r="AN9" s="29" t="s">
        <v>84</v>
      </c>
      <c r="AO9" s="29" t="s">
        <v>40</v>
      </c>
      <c r="AP9" s="29" t="s">
        <v>71</v>
      </c>
      <c r="AQ9" s="29" t="s">
        <v>47</v>
      </c>
      <c r="AR9" s="32" t="s">
        <v>46</v>
      </c>
      <c r="AS9" s="31"/>
      <c r="AT9" s="30" t="s">
        <v>12</v>
      </c>
      <c r="AU9" s="30" t="s">
        <v>13</v>
      </c>
      <c r="AV9" s="30" t="s">
        <v>14</v>
      </c>
      <c r="AW9" s="30" t="s">
        <v>15</v>
      </c>
      <c r="AX9" s="30" t="s">
        <v>16</v>
      </c>
      <c r="AY9" s="30" t="s">
        <v>42</v>
      </c>
      <c r="AZ9" s="29" t="s">
        <v>19</v>
      </c>
      <c r="BA9" s="32" t="s">
        <v>24</v>
      </c>
      <c r="BB9" s="31"/>
      <c r="BC9" s="486" t="s">
        <v>101</v>
      </c>
      <c r="BD9" s="486" t="s">
        <v>102</v>
      </c>
      <c r="BE9" s="486" t="s">
        <v>103</v>
      </c>
      <c r="BF9" s="122" t="s">
        <v>41</v>
      </c>
      <c r="BG9" s="123"/>
      <c r="BH9" s="124" t="s">
        <v>41</v>
      </c>
      <c r="BI9" s="125"/>
      <c r="BJ9" s="124" t="s">
        <v>41</v>
      </c>
      <c r="BK9" s="36" t="s">
        <v>44</v>
      </c>
      <c r="BL9" s="29"/>
      <c r="BM9" s="29"/>
      <c r="BN9" s="29"/>
      <c r="BO9" s="29"/>
      <c r="BP9" s="29"/>
    </row>
    <row r="10" spans="1:68" s="24" customFormat="1" x14ac:dyDescent="0.25">
      <c r="F10" s="28"/>
      <c r="G10" s="28"/>
      <c r="H10" s="28"/>
      <c r="I10" s="28"/>
      <c r="J10" s="28"/>
      <c r="K10" s="28"/>
      <c r="L10" s="37"/>
      <c r="M10" s="28"/>
      <c r="N10" s="28"/>
      <c r="O10" s="28"/>
      <c r="P10" s="28"/>
      <c r="Q10" s="28"/>
      <c r="R10" s="28"/>
      <c r="S10" s="57"/>
      <c r="AD10" s="116"/>
      <c r="AH10" s="37"/>
      <c r="AS10" s="37"/>
      <c r="AT10" s="28"/>
      <c r="AU10" s="28"/>
      <c r="AV10" s="28"/>
      <c r="AW10" s="28"/>
      <c r="AX10" s="28"/>
      <c r="AY10" s="28"/>
      <c r="BB10" s="37"/>
      <c r="BC10" s="234"/>
      <c r="BD10" s="486"/>
      <c r="BE10" s="486"/>
      <c r="BF10" s="119"/>
      <c r="BG10" s="120"/>
      <c r="BH10" s="121"/>
      <c r="BI10" s="126"/>
      <c r="BJ10" s="121"/>
      <c r="BK10" s="38"/>
    </row>
    <row r="11" spans="1:68" x14ac:dyDescent="0.25">
      <c r="A11" s="315">
        <v>104</v>
      </c>
      <c r="B11" s="315" t="s">
        <v>166</v>
      </c>
      <c r="C11" s="315" t="s">
        <v>168</v>
      </c>
      <c r="D11" s="315" t="s">
        <v>169</v>
      </c>
      <c r="E11" s="315" t="s">
        <v>141</v>
      </c>
      <c r="F11" s="40">
        <v>6.8</v>
      </c>
      <c r="G11" s="40">
        <v>6.3</v>
      </c>
      <c r="H11" s="40">
        <v>6.8</v>
      </c>
      <c r="I11" s="40">
        <v>7</v>
      </c>
      <c r="J11" s="40">
        <v>9.5</v>
      </c>
      <c r="K11" s="43">
        <f t="shared" ref="K11:K19" si="0">SUM((F11*0.1),(G11*0.1),(H11*0.3),(I11*0.3),(J11*0.2))</f>
        <v>7.3500000000000005</v>
      </c>
      <c r="L11" s="50"/>
      <c r="M11" s="40">
        <v>6.8</v>
      </c>
      <c r="N11" s="40">
        <v>6.3</v>
      </c>
      <c r="O11" s="40">
        <v>6.8</v>
      </c>
      <c r="P11" s="40">
        <v>7</v>
      </c>
      <c r="Q11" s="40">
        <v>9.5</v>
      </c>
      <c r="R11" s="43">
        <f t="shared" ref="R11:R19" si="1">SUM((M11*0.1),(N11*0.1),(O11*0.3),(P11*0.3),(Q11*0.2))</f>
        <v>7.3500000000000005</v>
      </c>
      <c r="S11" s="45"/>
      <c r="T11" s="40">
        <v>5.5</v>
      </c>
      <c r="U11" s="40">
        <v>5</v>
      </c>
      <c r="V11" s="40">
        <v>5.5</v>
      </c>
      <c r="W11" s="40">
        <v>6.5</v>
      </c>
      <c r="X11" s="40">
        <v>6</v>
      </c>
      <c r="Y11" s="40">
        <v>5.5</v>
      </c>
      <c r="Z11" s="40">
        <v>6</v>
      </c>
      <c r="AA11" s="40">
        <v>6</v>
      </c>
      <c r="AB11" s="44">
        <f t="shared" ref="AB11:AB19" si="2">SUM(T11:AA11)</f>
        <v>46</v>
      </c>
      <c r="AC11" s="43">
        <f t="shared" ref="AC11:AC19" si="3">AB11/8</f>
        <v>5.75</v>
      </c>
      <c r="AD11" s="117"/>
      <c r="AE11" s="40">
        <f>10-18/7</f>
        <v>7.4285714285714288</v>
      </c>
      <c r="AF11" s="41">
        <v>0</v>
      </c>
      <c r="AG11" s="43">
        <f t="shared" ref="AG11:AG19" si="4">AE11-AF11</f>
        <v>7.4285714285714288</v>
      </c>
      <c r="AH11" s="45"/>
      <c r="AI11" s="40">
        <v>6.5</v>
      </c>
      <c r="AJ11" s="40">
        <v>6</v>
      </c>
      <c r="AK11" s="40">
        <v>6</v>
      </c>
      <c r="AL11" s="40">
        <v>6.5</v>
      </c>
      <c r="AM11" s="40">
        <v>5.5</v>
      </c>
      <c r="AN11" s="40">
        <v>5</v>
      </c>
      <c r="AO11" s="40">
        <v>7</v>
      </c>
      <c r="AP11" s="40">
        <v>8</v>
      </c>
      <c r="AQ11" s="44">
        <f t="shared" ref="AQ11:AQ19" si="5">SUM(AI11:AP11)</f>
        <v>50.5</v>
      </c>
      <c r="AR11" s="43">
        <f t="shared" ref="AR11:AR19" si="6">AQ11/8</f>
        <v>6.3125</v>
      </c>
      <c r="AS11" s="45"/>
      <c r="AT11" s="40">
        <v>6</v>
      </c>
      <c r="AU11" s="40">
        <v>6</v>
      </c>
      <c r="AV11" s="40">
        <v>6</v>
      </c>
      <c r="AW11" s="40">
        <v>5.5</v>
      </c>
      <c r="AX11" s="40">
        <v>5.8</v>
      </c>
      <c r="AY11" s="43">
        <f t="shared" ref="AY11:AY19" si="7">SUM((AT11*0.2),(AU11*0.15),(AV11*0.25),(AW11*0.2),(AX11*0.2))</f>
        <v>5.86</v>
      </c>
      <c r="AZ11" s="41"/>
      <c r="BA11" s="43">
        <f t="shared" ref="BA11:BA19" si="8">AY11-AZ11</f>
        <v>5.86</v>
      </c>
      <c r="BB11" s="45"/>
      <c r="BC11" s="422">
        <f t="shared" ref="BC11:BC19" si="9">(K11+R11)/2</f>
        <v>7.3500000000000005</v>
      </c>
      <c r="BD11" s="422">
        <f t="shared" ref="BD11:BD19" si="10">(AC11+AG11)/2</f>
        <v>6.5892857142857144</v>
      </c>
      <c r="BE11" s="422">
        <f t="shared" ref="BE11:BE19" si="11">(AR11+BA11)/2</f>
        <v>6.0862499999999997</v>
      </c>
      <c r="BF11" s="423">
        <f t="shared" ref="BF11:BF19" si="12">SUM((K11*0.25)+(AC11*0.375)+(AR11*0.375))</f>
        <v>6.3609375000000004</v>
      </c>
      <c r="BG11" s="47"/>
      <c r="BH11" s="46">
        <f t="shared" ref="BH11:BH19" si="13">SUM((R11*0.25),(AG11*0.5),(BA11*0.25))</f>
        <v>7.0167857142857146</v>
      </c>
      <c r="BI11" s="112"/>
      <c r="BJ11" s="48">
        <f t="shared" ref="BJ11:BJ19" si="14">AVERAGE(BF11:BH11)</f>
        <v>6.6888616071428579</v>
      </c>
      <c r="BK11" s="61">
        <f t="shared" ref="BK11:BK16" si="15">RANK(BJ11,BJ$11:BJ$19)</f>
        <v>1</v>
      </c>
    </row>
    <row r="12" spans="1:68" x14ac:dyDescent="0.25">
      <c r="A12" s="315">
        <v>101</v>
      </c>
      <c r="B12" s="315" t="s">
        <v>167</v>
      </c>
      <c r="C12" s="315" t="s">
        <v>168</v>
      </c>
      <c r="D12" s="315" t="s">
        <v>169</v>
      </c>
      <c r="E12" s="315" t="s">
        <v>141</v>
      </c>
      <c r="F12" s="40">
        <v>6.8</v>
      </c>
      <c r="G12" s="40">
        <v>6.5</v>
      </c>
      <c r="H12" s="40">
        <v>6.8</v>
      </c>
      <c r="I12" s="40">
        <v>7.2</v>
      </c>
      <c r="J12" s="40">
        <v>9.5</v>
      </c>
      <c r="K12" s="43">
        <f t="shared" si="0"/>
        <v>7.4300000000000006</v>
      </c>
      <c r="L12" s="50"/>
      <c r="M12" s="40">
        <v>6.8</v>
      </c>
      <c r="N12" s="40">
        <v>6.3</v>
      </c>
      <c r="O12" s="40">
        <v>6.8</v>
      </c>
      <c r="P12" s="40">
        <v>7</v>
      </c>
      <c r="Q12" s="40">
        <v>9.5</v>
      </c>
      <c r="R12" s="43">
        <f t="shared" si="1"/>
        <v>7.3500000000000005</v>
      </c>
      <c r="S12" s="45"/>
      <c r="T12" s="40">
        <v>5</v>
      </c>
      <c r="U12" s="40">
        <v>7</v>
      </c>
      <c r="V12" s="40">
        <v>4.5</v>
      </c>
      <c r="W12" s="40">
        <v>6</v>
      </c>
      <c r="X12" s="40">
        <v>6.5</v>
      </c>
      <c r="Y12" s="40">
        <v>6.8</v>
      </c>
      <c r="Z12" s="40">
        <v>7</v>
      </c>
      <c r="AA12" s="40">
        <v>6.5</v>
      </c>
      <c r="AB12" s="44">
        <f t="shared" si="2"/>
        <v>49.3</v>
      </c>
      <c r="AC12" s="43">
        <f t="shared" si="3"/>
        <v>6.1624999999999996</v>
      </c>
      <c r="AD12" s="117"/>
      <c r="AE12" s="40">
        <f>10-33/9</f>
        <v>6.3333333333333339</v>
      </c>
      <c r="AF12" s="41">
        <v>0</v>
      </c>
      <c r="AG12" s="43">
        <f t="shared" si="4"/>
        <v>6.3333333333333339</v>
      </c>
      <c r="AH12" s="45"/>
      <c r="AI12" s="40">
        <v>6</v>
      </c>
      <c r="AJ12" s="40">
        <v>6.5</v>
      </c>
      <c r="AK12" s="40">
        <v>6</v>
      </c>
      <c r="AL12" s="40">
        <v>6.5</v>
      </c>
      <c r="AM12" s="40">
        <v>5.5</v>
      </c>
      <c r="AN12" s="40">
        <v>5.5</v>
      </c>
      <c r="AO12" s="40">
        <v>7</v>
      </c>
      <c r="AP12" s="40">
        <v>6</v>
      </c>
      <c r="AQ12" s="44">
        <f t="shared" si="5"/>
        <v>49</v>
      </c>
      <c r="AR12" s="43">
        <f t="shared" si="6"/>
        <v>6.125</v>
      </c>
      <c r="AS12" s="45"/>
      <c r="AT12" s="40">
        <v>5</v>
      </c>
      <c r="AU12" s="40">
        <v>6</v>
      </c>
      <c r="AV12" s="40">
        <v>6</v>
      </c>
      <c r="AW12" s="40">
        <v>4.5</v>
      </c>
      <c r="AX12" s="40">
        <v>5</v>
      </c>
      <c r="AY12" s="43">
        <f t="shared" si="7"/>
        <v>5.3</v>
      </c>
      <c r="AZ12" s="41"/>
      <c r="BA12" s="43">
        <f t="shared" si="8"/>
        <v>5.3</v>
      </c>
      <c r="BB12" s="45"/>
      <c r="BC12" s="422">
        <f t="shared" si="9"/>
        <v>7.3900000000000006</v>
      </c>
      <c r="BD12" s="422">
        <f t="shared" si="10"/>
        <v>6.2479166666666668</v>
      </c>
      <c r="BE12" s="422">
        <f t="shared" si="11"/>
        <v>5.7125000000000004</v>
      </c>
      <c r="BF12" s="423">
        <f t="shared" si="12"/>
        <v>6.4653124999999996</v>
      </c>
      <c r="BG12" s="47"/>
      <c r="BH12" s="46">
        <f t="shared" si="13"/>
        <v>6.3291666666666675</v>
      </c>
      <c r="BI12" s="112"/>
      <c r="BJ12" s="48">
        <f t="shared" si="14"/>
        <v>6.3972395833333335</v>
      </c>
      <c r="BK12" s="61">
        <f t="shared" si="15"/>
        <v>2</v>
      </c>
    </row>
    <row r="13" spans="1:68" x14ac:dyDescent="0.25">
      <c r="A13" s="286">
        <v>153</v>
      </c>
      <c r="B13" s="315" t="s">
        <v>159</v>
      </c>
      <c r="C13" s="315" t="s">
        <v>107</v>
      </c>
      <c r="D13" s="315" t="s">
        <v>108</v>
      </c>
      <c r="E13" s="315" t="s">
        <v>109</v>
      </c>
      <c r="F13" s="40">
        <v>5.3</v>
      </c>
      <c r="G13" s="40">
        <v>5.4</v>
      </c>
      <c r="H13" s="40">
        <v>5.3</v>
      </c>
      <c r="I13" s="40">
        <v>5.7</v>
      </c>
      <c r="J13" s="40">
        <v>6.5</v>
      </c>
      <c r="K13" s="43">
        <f t="shared" si="0"/>
        <v>5.67</v>
      </c>
      <c r="L13" s="50"/>
      <c r="M13" s="40">
        <v>5.2</v>
      </c>
      <c r="N13" s="40">
        <v>5.3</v>
      </c>
      <c r="O13" s="40">
        <v>5.2</v>
      </c>
      <c r="P13" s="40">
        <v>5.2</v>
      </c>
      <c r="Q13" s="40">
        <v>6.5</v>
      </c>
      <c r="R13" s="43">
        <f t="shared" si="1"/>
        <v>5.47</v>
      </c>
      <c r="S13" s="45"/>
      <c r="T13" s="40">
        <v>5</v>
      </c>
      <c r="U13" s="40">
        <v>6</v>
      </c>
      <c r="V13" s="40">
        <v>6</v>
      </c>
      <c r="W13" s="40">
        <v>6.5</v>
      </c>
      <c r="X13" s="40">
        <v>5</v>
      </c>
      <c r="Y13" s="40">
        <v>5.5</v>
      </c>
      <c r="Z13" s="40">
        <v>6</v>
      </c>
      <c r="AA13" s="40">
        <v>6</v>
      </c>
      <c r="AB13" s="44">
        <f t="shared" si="2"/>
        <v>46</v>
      </c>
      <c r="AC13" s="43">
        <f t="shared" si="3"/>
        <v>5.75</v>
      </c>
      <c r="AD13" s="117"/>
      <c r="AE13" s="40">
        <f>10-16/7</f>
        <v>7.7142857142857144</v>
      </c>
      <c r="AF13" s="41">
        <v>0</v>
      </c>
      <c r="AG13" s="43">
        <f t="shared" si="4"/>
        <v>7.7142857142857144</v>
      </c>
      <c r="AH13" s="45"/>
      <c r="AI13" s="40">
        <v>6</v>
      </c>
      <c r="AJ13" s="40">
        <v>6</v>
      </c>
      <c r="AK13" s="40">
        <v>5</v>
      </c>
      <c r="AL13" s="40">
        <v>6.5</v>
      </c>
      <c r="AM13" s="40">
        <v>6</v>
      </c>
      <c r="AN13" s="40">
        <v>5.5</v>
      </c>
      <c r="AO13" s="40">
        <v>6.5</v>
      </c>
      <c r="AP13" s="40">
        <v>6.5</v>
      </c>
      <c r="AQ13" s="44">
        <f t="shared" si="5"/>
        <v>48</v>
      </c>
      <c r="AR13" s="43">
        <f t="shared" si="6"/>
        <v>6</v>
      </c>
      <c r="AS13" s="45"/>
      <c r="AT13" s="40">
        <v>5.5</v>
      </c>
      <c r="AU13" s="40">
        <v>6.2</v>
      </c>
      <c r="AV13" s="40">
        <v>6</v>
      </c>
      <c r="AW13" s="40">
        <v>5</v>
      </c>
      <c r="AX13" s="40">
        <v>5</v>
      </c>
      <c r="AY13" s="43">
        <f t="shared" si="7"/>
        <v>5.53</v>
      </c>
      <c r="AZ13" s="41"/>
      <c r="BA13" s="43">
        <f t="shared" si="8"/>
        <v>5.53</v>
      </c>
      <c r="BB13" s="45"/>
      <c r="BC13" s="422">
        <f t="shared" si="9"/>
        <v>5.57</v>
      </c>
      <c r="BD13" s="422">
        <f t="shared" si="10"/>
        <v>6.7321428571428577</v>
      </c>
      <c r="BE13" s="422">
        <f t="shared" si="11"/>
        <v>5.7650000000000006</v>
      </c>
      <c r="BF13" s="423">
        <f t="shared" si="12"/>
        <v>5.8237500000000004</v>
      </c>
      <c r="BG13" s="47"/>
      <c r="BH13" s="46">
        <f t="shared" si="13"/>
        <v>6.6071428571428577</v>
      </c>
      <c r="BI13" s="112"/>
      <c r="BJ13" s="48">
        <f t="shared" si="14"/>
        <v>6.215446428571429</v>
      </c>
      <c r="BK13" s="61">
        <f t="shared" si="15"/>
        <v>3</v>
      </c>
    </row>
    <row r="14" spans="1:68" x14ac:dyDescent="0.25">
      <c r="A14" s="315">
        <v>128</v>
      </c>
      <c r="B14" s="315" t="s">
        <v>212</v>
      </c>
      <c r="C14" s="315" t="s">
        <v>118</v>
      </c>
      <c r="D14" s="388" t="s">
        <v>119</v>
      </c>
      <c r="E14" s="315" t="s">
        <v>120</v>
      </c>
      <c r="F14" s="40">
        <v>5.8</v>
      </c>
      <c r="G14" s="40">
        <v>5.6</v>
      </c>
      <c r="H14" s="40">
        <v>6.2</v>
      </c>
      <c r="I14" s="40">
        <v>6.5</v>
      </c>
      <c r="J14" s="40">
        <v>8.8000000000000007</v>
      </c>
      <c r="K14" s="43">
        <f t="shared" si="0"/>
        <v>6.7100000000000009</v>
      </c>
      <c r="L14" s="50"/>
      <c r="M14" s="40">
        <v>5.8</v>
      </c>
      <c r="N14" s="40">
        <v>5.8</v>
      </c>
      <c r="O14" s="40">
        <v>6.2</v>
      </c>
      <c r="P14" s="40">
        <v>6.5</v>
      </c>
      <c r="Q14" s="40">
        <v>8.8000000000000007</v>
      </c>
      <c r="R14" s="43">
        <f t="shared" si="1"/>
        <v>6.73</v>
      </c>
      <c r="S14" s="45"/>
      <c r="T14" s="40">
        <v>4</v>
      </c>
      <c r="U14" s="40">
        <v>5.5</v>
      </c>
      <c r="V14" s="40">
        <v>4</v>
      </c>
      <c r="W14" s="40">
        <v>5.6</v>
      </c>
      <c r="X14" s="40">
        <v>5</v>
      </c>
      <c r="Y14" s="40">
        <v>5.5</v>
      </c>
      <c r="Z14" s="40">
        <v>6</v>
      </c>
      <c r="AA14" s="40">
        <v>5</v>
      </c>
      <c r="AB14" s="44">
        <f t="shared" si="2"/>
        <v>40.6</v>
      </c>
      <c r="AC14" s="43">
        <f t="shared" si="3"/>
        <v>5.0750000000000002</v>
      </c>
      <c r="AD14" s="117"/>
      <c r="AE14" s="40">
        <v>7</v>
      </c>
      <c r="AF14" s="41">
        <v>0</v>
      </c>
      <c r="AG14" s="43">
        <f t="shared" si="4"/>
        <v>7</v>
      </c>
      <c r="AH14" s="45"/>
      <c r="AI14" s="40">
        <v>4.5</v>
      </c>
      <c r="AJ14" s="40">
        <v>5</v>
      </c>
      <c r="AK14" s="40">
        <v>7</v>
      </c>
      <c r="AL14" s="40">
        <v>6.5</v>
      </c>
      <c r="AM14" s="40">
        <v>5</v>
      </c>
      <c r="AN14" s="40">
        <v>5</v>
      </c>
      <c r="AO14" s="40">
        <v>6.5</v>
      </c>
      <c r="AP14" s="40">
        <v>5</v>
      </c>
      <c r="AQ14" s="44">
        <f t="shared" si="5"/>
        <v>44.5</v>
      </c>
      <c r="AR14" s="43">
        <f t="shared" si="6"/>
        <v>5.5625</v>
      </c>
      <c r="AS14" s="45"/>
      <c r="AT14" s="40">
        <v>5</v>
      </c>
      <c r="AU14" s="40">
        <v>5.5</v>
      </c>
      <c r="AV14" s="40">
        <v>5</v>
      </c>
      <c r="AW14" s="40">
        <v>6.5</v>
      </c>
      <c r="AX14" s="40">
        <v>5.5</v>
      </c>
      <c r="AY14" s="43">
        <f t="shared" si="7"/>
        <v>5.4749999999999996</v>
      </c>
      <c r="AZ14" s="41"/>
      <c r="BA14" s="43">
        <f t="shared" si="8"/>
        <v>5.4749999999999996</v>
      </c>
      <c r="BB14" s="45"/>
      <c r="BC14" s="422">
        <f t="shared" si="9"/>
        <v>6.7200000000000006</v>
      </c>
      <c r="BD14" s="422">
        <f t="shared" si="10"/>
        <v>6.0374999999999996</v>
      </c>
      <c r="BE14" s="422">
        <f t="shared" si="11"/>
        <v>5.5187499999999998</v>
      </c>
      <c r="BF14" s="423">
        <f t="shared" si="12"/>
        <v>5.6665625000000004</v>
      </c>
      <c r="BG14" s="47"/>
      <c r="BH14" s="46">
        <f t="shared" si="13"/>
        <v>6.5512499999999996</v>
      </c>
      <c r="BI14" s="112"/>
      <c r="BJ14" s="48">
        <f t="shared" si="14"/>
        <v>6.1089062500000004</v>
      </c>
      <c r="BK14" s="61">
        <f t="shared" si="15"/>
        <v>4</v>
      </c>
    </row>
    <row r="15" spans="1:68" x14ac:dyDescent="0.25">
      <c r="A15" s="315">
        <v>150</v>
      </c>
      <c r="B15" s="315" t="s">
        <v>161</v>
      </c>
      <c r="C15" s="315" t="s">
        <v>107</v>
      </c>
      <c r="D15" s="315" t="s">
        <v>108</v>
      </c>
      <c r="E15" s="315" t="s">
        <v>109</v>
      </c>
      <c r="F15" s="40">
        <v>5.3</v>
      </c>
      <c r="G15" s="40">
        <v>5.4</v>
      </c>
      <c r="H15" s="40">
        <v>5.3</v>
      </c>
      <c r="I15" s="40">
        <v>5.7</v>
      </c>
      <c r="J15" s="40">
        <v>6.5</v>
      </c>
      <c r="K15" s="43">
        <f t="shared" si="0"/>
        <v>5.67</v>
      </c>
      <c r="L15" s="50"/>
      <c r="M15" s="40">
        <v>5</v>
      </c>
      <c r="N15" s="40">
        <v>5.2</v>
      </c>
      <c r="O15" s="40">
        <v>4.9000000000000004</v>
      </c>
      <c r="P15" s="40">
        <v>5.2</v>
      </c>
      <c r="Q15" s="40">
        <v>6.5</v>
      </c>
      <c r="R15" s="43">
        <f t="shared" si="1"/>
        <v>5.3500000000000005</v>
      </c>
      <c r="S15" s="45"/>
      <c r="T15" s="40">
        <v>4</v>
      </c>
      <c r="U15" s="40">
        <v>5.5</v>
      </c>
      <c r="V15" s="40">
        <v>6.5</v>
      </c>
      <c r="W15" s="40">
        <v>5.5</v>
      </c>
      <c r="X15" s="40">
        <v>6</v>
      </c>
      <c r="Y15" s="40">
        <v>6</v>
      </c>
      <c r="Z15" s="40">
        <v>6</v>
      </c>
      <c r="AA15" s="40">
        <v>6</v>
      </c>
      <c r="AB15" s="44">
        <f t="shared" si="2"/>
        <v>45.5</v>
      </c>
      <c r="AC15" s="43">
        <f t="shared" si="3"/>
        <v>5.6875</v>
      </c>
      <c r="AD15" s="117"/>
      <c r="AE15" s="40">
        <f>10-30/10</f>
        <v>7</v>
      </c>
      <c r="AF15" s="41">
        <v>0</v>
      </c>
      <c r="AG15" s="43">
        <f t="shared" si="4"/>
        <v>7</v>
      </c>
      <c r="AH15" s="45"/>
      <c r="AI15" s="40">
        <v>6</v>
      </c>
      <c r="AJ15" s="40">
        <v>6</v>
      </c>
      <c r="AK15" s="40">
        <v>5.5</v>
      </c>
      <c r="AL15" s="40">
        <v>7</v>
      </c>
      <c r="AM15" s="40">
        <v>5.5</v>
      </c>
      <c r="AN15" s="40">
        <v>5.5</v>
      </c>
      <c r="AO15" s="40">
        <v>6</v>
      </c>
      <c r="AP15" s="40">
        <v>7</v>
      </c>
      <c r="AQ15" s="44">
        <f t="shared" si="5"/>
        <v>48.5</v>
      </c>
      <c r="AR15" s="43">
        <f t="shared" si="6"/>
        <v>6.0625</v>
      </c>
      <c r="AS15" s="45"/>
      <c r="AT15" s="40">
        <v>6.5</v>
      </c>
      <c r="AU15" s="40">
        <v>6</v>
      </c>
      <c r="AV15" s="40">
        <v>6</v>
      </c>
      <c r="AW15" s="40">
        <v>6.2</v>
      </c>
      <c r="AX15" s="40">
        <v>6</v>
      </c>
      <c r="AY15" s="43">
        <f t="shared" si="7"/>
        <v>6.1400000000000006</v>
      </c>
      <c r="AZ15" s="41"/>
      <c r="BA15" s="43">
        <f t="shared" si="8"/>
        <v>6.1400000000000006</v>
      </c>
      <c r="BB15" s="45"/>
      <c r="BC15" s="422">
        <f t="shared" si="9"/>
        <v>5.51</v>
      </c>
      <c r="BD15" s="422">
        <f t="shared" si="10"/>
        <v>6.34375</v>
      </c>
      <c r="BE15" s="422">
        <f t="shared" si="11"/>
        <v>6.1012500000000003</v>
      </c>
      <c r="BF15" s="423">
        <f t="shared" si="12"/>
        <v>5.8237500000000004</v>
      </c>
      <c r="BG15" s="47"/>
      <c r="BH15" s="46">
        <f t="shared" si="13"/>
        <v>6.3725000000000005</v>
      </c>
      <c r="BI15" s="112"/>
      <c r="BJ15" s="48">
        <f t="shared" si="14"/>
        <v>6.0981250000000005</v>
      </c>
      <c r="BK15" s="61">
        <f t="shared" si="15"/>
        <v>5</v>
      </c>
    </row>
    <row r="16" spans="1:68" x14ac:dyDescent="0.25">
      <c r="A16" s="315">
        <v>119</v>
      </c>
      <c r="B16" s="315" t="s">
        <v>211</v>
      </c>
      <c r="C16" s="315" t="s">
        <v>118</v>
      </c>
      <c r="D16" s="388" t="s">
        <v>119</v>
      </c>
      <c r="E16" s="315" t="s">
        <v>120</v>
      </c>
      <c r="F16" s="40">
        <v>5.8</v>
      </c>
      <c r="G16" s="40">
        <v>5.8</v>
      </c>
      <c r="H16" s="40">
        <v>6.2</v>
      </c>
      <c r="I16" s="40">
        <v>6.8</v>
      </c>
      <c r="J16" s="40">
        <v>8.8000000000000007</v>
      </c>
      <c r="K16" s="43">
        <f t="shared" si="0"/>
        <v>6.82</v>
      </c>
      <c r="L16" s="50"/>
      <c r="M16" s="40">
        <v>5.8</v>
      </c>
      <c r="N16" s="40">
        <v>5.7</v>
      </c>
      <c r="O16" s="40">
        <v>6.2</v>
      </c>
      <c r="P16" s="40">
        <v>6.5</v>
      </c>
      <c r="Q16" s="40">
        <v>8.8000000000000007</v>
      </c>
      <c r="R16" s="43">
        <f t="shared" si="1"/>
        <v>6.7200000000000006</v>
      </c>
      <c r="S16" s="45"/>
      <c r="T16" s="40">
        <v>3.5</v>
      </c>
      <c r="U16" s="40">
        <v>4.5</v>
      </c>
      <c r="V16" s="40">
        <v>3.5</v>
      </c>
      <c r="W16" s="40">
        <v>5</v>
      </c>
      <c r="X16" s="40">
        <v>5</v>
      </c>
      <c r="Y16" s="40">
        <v>4.5</v>
      </c>
      <c r="Z16" s="40">
        <v>4.5</v>
      </c>
      <c r="AA16" s="40">
        <v>4</v>
      </c>
      <c r="AB16" s="44">
        <f t="shared" si="2"/>
        <v>34.5</v>
      </c>
      <c r="AC16" s="43">
        <f t="shared" si="3"/>
        <v>4.3125</v>
      </c>
      <c r="AD16" s="117"/>
      <c r="AE16" s="40">
        <v>6.9</v>
      </c>
      <c r="AF16" s="41">
        <v>0.4</v>
      </c>
      <c r="AG16" s="43">
        <f t="shared" si="4"/>
        <v>6.5</v>
      </c>
      <c r="AH16" s="45"/>
      <c r="AI16" s="40">
        <v>4.5</v>
      </c>
      <c r="AJ16" s="40">
        <v>5.5</v>
      </c>
      <c r="AK16" s="40">
        <v>3</v>
      </c>
      <c r="AL16" s="40">
        <v>4</v>
      </c>
      <c r="AM16" s="40">
        <v>5</v>
      </c>
      <c r="AN16" s="40">
        <v>5.2</v>
      </c>
      <c r="AO16" s="40">
        <v>6</v>
      </c>
      <c r="AP16" s="40">
        <v>5</v>
      </c>
      <c r="AQ16" s="44">
        <f t="shared" si="5"/>
        <v>38.200000000000003</v>
      </c>
      <c r="AR16" s="43">
        <f t="shared" si="6"/>
        <v>4.7750000000000004</v>
      </c>
      <c r="AS16" s="45"/>
      <c r="AT16" s="40">
        <v>4</v>
      </c>
      <c r="AU16" s="40">
        <v>5</v>
      </c>
      <c r="AV16" s="40">
        <v>5.5</v>
      </c>
      <c r="AW16" s="40">
        <v>6.5</v>
      </c>
      <c r="AX16" s="40">
        <v>5.5</v>
      </c>
      <c r="AY16" s="43">
        <f t="shared" si="7"/>
        <v>5.3249999999999993</v>
      </c>
      <c r="AZ16" s="41"/>
      <c r="BA16" s="43">
        <f t="shared" si="8"/>
        <v>5.3249999999999993</v>
      </c>
      <c r="BB16" s="45"/>
      <c r="BC16" s="422">
        <f t="shared" si="9"/>
        <v>6.7700000000000005</v>
      </c>
      <c r="BD16" s="422">
        <f t="shared" si="10"/>
        <v>5.40625</v>
      </c>
      <c r="BE16" s="422">
        <f t="shared" si="11"/>
        <v>5.05</v>
      </c>
      <c r="BF16" s="423">
        <f t="shared" si="12"/>
        <v>5.1128125000000004</v>
      </c>
      <c r="BG16" s="47"/>
      <c r="BH16" s="46">
        <f t="shared" si="13"/>
        <v>6.2612499999999995</v>
      </c>
      <c r="BI16" s="112"/>
      <c r="BJ16" s="48">
        <f t="shared" si="14"/>
        <v>5.6870312500000004</v>
      </c>
      <c r="BK16" s="61">
        <f t="shared" si="15"/>
        <v>6</v>
      </c>
    </row>
    <row r="17" spans="1:63" x14ac:dyDescent="0.25">
      <c r="A17" s="315">
        <v>152</v>
      </c>
      <c r="B17" s="315" t="s">
        <v>213</v>
      </c>
      <c r="C17" s="315" t="s">
        <v>107</v>
      </c>
      <c r="D17" s="315" t="s">
        <v>108</v>
      </c>
      <c r="E17" s="315" t="s">
        <v>109</v>
      </c>
      <c r="F17" s="40">
        <v>5.0999999999999996</v>
      </c>
      <c r="G17" s="40">
        <v>5.2</v>
      </c>
      <c r="H17" s="40">
        <v>5.3</v>
      </c>
      <c r="I17" s="40">
        <v>5.7</v>
      </c>
      <c r="J17" s="40">
        <v>6.5</v>
      </c>
      <c r="K17" s="43">
        <f t="shared" si="0"/>
        <v>5.63</v>
      </c>
      <c r="L17" s="50"/>
      <c r="M17" s="40">
        <v>5.2</v>
      </c>
      <c r="N17" s="40">
        <v>5.3</v>
      </c>
      <c r="O17" s="40">
        <v>5.2</v>
      </c>
      <c r="P17" s="40">
        <v>5.2</v>
      </c>
      <c r="Q17" s="40">
        <v>6.5</v>
      </c>
      <c r="R17" s="43">
        <f t="shared" si="1"/>
        <v>5.47</v>
      </c>
      <c r="S17" s="45"/>
      <c r="T17" s="40">
        <v>3.5</v>
      </c>
      <c r="U17" s="40">
        <v>4</v>
      </c>
      <c r="V17" s="40">
        <v>5.5</v>
      </c>
      <c r="W17" s="40">
        <v>4.8</v>
      </c>
      <c r="X17" s="40">
        <v>5.5</v>
      </c>
      <c r="Y17" s="40">
        <v>5</v>
      </c>
      <c r="Z17" s="40">
        <v>6</v>
      </c>
      <c r="AA17" s="40">
        <v>5</v>
      </c>
      <c r="AB17" s="44">
        <f t="shared" si="2"/>
        <v>39.299999999999997</v>
      </c>
      <c r="AC17" s="43">
        <f t="shared" si="3"/>
        <v>4.9124999999999996</v>
      </c>
      <c r="AD17" s="117"/>
      <c r="AE17" s="40">
        <f>10-28/9</f>
        <v>6.8888888888888893</v>
      </c>
      <c r="AF17" s="41">
        <v>0</v>
      </c>
      <c r="AG17" s="43">
        <f t="shared" si="4"/>
        <v>6.8888888888888893</v>
      </c>
      <c r="AH17" s="45"/>
      <c r="AI17" s="40">
        <v>4</v>
      </c>
      <c r="AJ17" s="40">
        <v>5.5</v>
      </c>
      <c r="AK17" s="40">
        <v>5</v>
      </c>
      <c r="AL17" s="40">
        <v>6</v>
      </c>
      <c r="AM17" s="40">
        <v>4.5</v>
      </c>
      <c r="AN17" s="40">
        <v>5</v>
      </c>
      <c r="AO17" s="40">
        <v>5.5</v>
      </c>
      <c r="AP17" s="40">
        <v>5</v>
      </c>
      <c r="AQ17" s="44">
        <f t="shared" si="5"/>
        <v>40.5</v>
      </c>
      <c r="AR17" s="43">
        <f t="shared" si="6"/>
        <v>5.0625</v>
      </c>
      <c r="AS17" s="45"/>
      <c r="AT17" s="40">
        <v>4.5</v>
      </c>
      <c r="AU17" s="40">
        <v>4</v>
      </c>
      <c r="AV17" s="40">
        <v>5</v>
      </c>
      <c r="AW17" s="40">
        <v>4</v>
      </c>
      <c r="AX17" s="40">
        <v>4</v>
      </c>
      <c r="AY17" s="43">
        <f t="shared" si="7"/>
        <v>4.3499999999999996</v>
      </c>
      <c r="AZ17" s="41"/>
      <c r="BA17" s="43">
        <f t="shared" si="8"/>
        <v>4.3499999999999996</v>
      </c>
      <c r="BB17" s="45"/>
      <c r="BC17" s="422">
        <f t="shared" si="9"/>
        <v>5.55</v>
      </c>
      <c r="BD17" s="422">
        <f t="shared" si="10"/>
        <v>5.9006944444444445</v>
      </c>
      <c r="BE17" s="422">
        <f t="shared" si="11"/>
        <v>4.7062499999999998</v>
      </c>
      <c r="BF17" s="423">
        <f t="shared" si="12"/>
        <v>5.1481250000000003</v>
      </c>
      <c r="BG17" s="47"/>
      <c r="BH17" s="46">
        <f t="shared" si="13"/>
        <v>5.8994444444444447</v>
      </c>
      <c r="BI17" s="112"/>
      <c r="BJ17" s="48">
        <f t="shared" si="14"/>
        <v>5.5237847222222225</v>
      </c>
      <c r="BK17" s="61"/>
    </row>
    <row r="18" spans="1:63" x14ac:dyDescent="0.25">
      <c r="A18" s="315">
        <v>91</v>
      </c>
      <c r="B18" s="315" t="s">
        <v>154</v>
      </c>
      <c r="C18" s="315" t="s">
        <v>156</v>
      </c>
      <c r="D18" s="315" t="s">
        <v>124</v>
      </c>
      <c r="E18" s="315" t="s">
        <v>132</v>
      </c>
      <c r="F18" s="40">
        <v>6.4</v>
      </c>
      <c r="G18" s="40">
        <v>5.8</v>
      </c>
      <c r="H18" s="40">
        <v>6</v>
      </c>
      <c r="I18" s="40">
        <v>6.3</v>
      </c>
      <c r="J18" s="40">
        <v>6.3</v>
      </c>
      <c r="K18" s="43">
        <f t="shared" si="0"/>
        <v>6.17</v>
      </c>
      <c r="L18" s="50"/>
      <c r="M18" s="40">
        <v>6.4</v>
      </c>
      <c r="N18" s="40">
        <v>5.6</v>
      </c>
      <c r="O18" s="40">
        <v>6</v>
      </c>
      <c r="P18" s="40">
        <v>6.3</v>
      </c>
      <c r="Q18" s="40">
        <v>6.3</v>
      </c>
      <c r="R18" s="43">
        <f t="shared" si="1"/>
        <v>6.1499999999999995</v>
      </c>
      <c r="S18" s="45"/>
      <c r="T18" s="40">
        <v>3.8</v>
      </c>
      <c r="U18" s="40">
        <v>7.5</v>
      </c>
      <c r="V18" s="40">
        <v>5.5</v>
      </c>
      <c r="W18" s="40">
        <v>6</v>
      </c>
      <c r="X18" s="40">
        <v>5.8</v>
      </c>
      <c r="Y18" s="40">
        <v>5.8</v>
      </c>
      <c r="Z18" s="40">
        <v>6</v>
      </c>
      <c r="AA18" s="40">
        <v>5</v>
      </c>
      <c r="AB18" s="44">
        <f t="shared" si="2"/>
        <v>45.4</v>
      </c>
      <c r="AC18" s="43">
        <f t="shared" si="3"/>
        <v>5.6749999999999998</v>
      </c>
      <c r="AD18" s="117"/>
      <c r="AE18" s="40">
        <v>6.6</v>
      </c>
      <c r="AF18" s="41">
        <v>2</v>
      </c>
      <c r="AG18" s="43">
        <f t="shared" si="4"/>
        <v>4.5999999999999996</v>
      </c>
      <c r="AH18" s="45"/>
      <c r="AI18" s="40">
        <v>4</v>
      </c>
      <c r="AJ18" s="40">
        <v>6</v>
      </c>
      <c r="AK18" s="40">
        <v>5</v>
      </c>
      <c r="AL18" s="40">
        <v>6</v>
      </c>
      <c r="AM18" s="40">
        <v>5</v>
      </c>
      <c r="AN18" s="40">
        <v>5</v>
      </c>
      <c r="AO18" s="40">
        <v>6</v>
      </c>
      <c r="AP18" s="40">
        <v>6.5</v>
      </c>
      <c r="AQ18" s="44">
        <f t="shared" si="5"/>
        <v>43.5</v>
      </c>
      <c r="AR18" s="43">
        <f t="shared" si="6"/>
        <v>5.4375</v>
      </c>
      <c r="AS18" s="45"/>
      <c r="AT18" s="40">
        <v>4.5</v>
      </c>
      <c r="AU18" s="40">
        <v>4</v>
      </c>
      <c r="AV18" s="40">
        <v>4.5</v>
      </c>
      <c r="AW18" s="40">
        <v>6.2</v>
      </c>
      <c r="AX18" s="40">
        <v>5.5</v>
      </c>
      <c r="AY18" s="43">
        <f t="shared" si="7"/>
        <v>4.9649999999999999</v>
      </c>
      <c r="AZ18" s="41"/>
      <c r="BA18" s="43">
        <f t="shared" si="8"/>
        <v>4.9649999999999999</v>
      </c>
      <c r="BB18" s="45"/>
      <c r="BC18" s="422">
        <f t="shared" si="9"/>
        <v>6.16</v>
      </c>
      <c r="BD18" s="422">
        <f t="shared" si="10"/>
        <v>5.1374999999999993</v>
      </c>
      <c r="BE18" s="422">
        <f t="shared" si="11"/>
        <v>5.2012499999999999</v>
      </c>
      <c r="BF18" s="423">
        <f t="shared" si="12"/>
        <v>5.7096874999999994</v>
      </c>
      <c r="BG18" s="47"/>
      <c r="BH18" s="46">
        <f t="shared" si="13"/>
        <v>5.0787499999999994</v>
      </c>
      <c r="BI18" s="112"/>
      <c r="BJ18" s="48">
        <f t="shared" si="14"/>
        <v>5.3942187499999994</v>
      </c>
      <c r="BK18" s="61"/>
    </row>
    <row r="19" spans="1:63" x14ac:dyDescent="0.25">
      <c r="A19" s="315">
        <v>124</v>
      </c>
      <c r="B19" s="315" t="s">
        <v>210</v>
      </c>
      <c r="C19" s="315" t="s">
        <v>118</v>
      </c>
      <c r="D19" s="388" t="s">
        <v>119</v>
      </c>
      <c r="E19" s="315" t="s">
        <v>120</v>
      </c>
      <c r="F19" s="40">
        <v>5.8</v>
      </c>
      <c r="G19" s="40">
        <v>5.8</v>
      </c>
      <c r="H19" s="40">
        <v>6.3</v>
      </c>
      <c r="I19" s="40">
        <v>6.8</v>
      </c>
      <c r="J19" s="40">
        <v>8.8000000000000007</v>
      </c>
      <c r="K19" s="43">
        <f t="shared" si="0"/>
        <v>6.85</v>
      </c>
      <c r="L19" s="50"/>
      <c r="M19" s="40">
        <v>5.8</v>
      </c>
      <c r="N19" s="40">
        <v>5.6</v>
      </c>
      <c r="O19" s="40">
        <v>6.2</v>
      </c>
      <c r="P19" s="40">
        <v>6.5</v>
      </c>
      <c r="Q19" s="40">
        <v>8.8000000000000007</v>
      </c>
      <c r="R19" s="43">
        <f t="shared" si="1"/>
        <v>6.7100000000000009</v>
      </c>
      <c r="S19" s="45"/>
      <c r="T19" s="40">
        <v>3</v>
      </c>
      <c r="U19" s="40">
        <v>2.8</v>
      </c>
      <c r="V19" s="40">
        <v>3</v>
      </c>
      <c r="W19" s="40">
        <v>4</v>
      </c>
      <c r="X19" s="40">
        <v>3.8</v>
      </c>
      <c r="Y19" s="40">
        <v>4</v>
      </c>
      <c r="Z19" s="40">
        <v>4.5</v>
      </c>
      <c r="AA19" s="40">
        <v>4.5</v>
      </c>
      <c r="AB19" s="44">
        <f t="shared" si="2"/>
        <v>29.6</v>
      </c>
      <c r="AC19" s="43">
        <f t="shared" si="3"/>
        <v>3.7</v>
      </c>
      <c r="AD19" s="117"/>
      <c r="AE19" s="40">
        <f>10-25/6</f>
        <v>5.833333333333333</v>
      </c>
      <c r="AF19" s="41">
        <v>0</v>
      </c>
      <c r="AG19" s="43">
        <f t="shared" si="4"/>
        <v>5.833333333333333</v>
      </c>
      <c r="AH19" s="45"/>
      <c r="AI19" s="40">
        <v>3.5</v>
      </c>
      <c r="AJ19" s="40">
        <v>3</v>
      </c>
      <c r="AK19" s="40">
        <v>4</v>
      </c>
      <c r="AL19" s="40">
        <v>3</v>
      </c>
      <c r="AM19" s="40">
        <v>3.5</v>
      </c>
      <c r="AN19" s="40">
        <v>3</v>
      </c>
      <c r="AO19" s="40">
        <v>6</v>
      </c>
      <c r="AP19" s="40">
        <v>5.5</v>
      </c>
      <c r="AQ19" s="44">
        <f t="shared" si="5"/>
        <v>31.5</v>
      </c>
      <c r="AR19" s="43">
        <f t="shared" si="6"/>
        <v>3.9375</v>
      </c>
      <c r="AS19" s="45"/>
      <c r="AT19" s="40">
        <v>2</v>
      </c>
      <c r="AU19" s="40">
        <v>2</v>
      </c>
      <c r="AV19" s="40">
        <v>2</v>
      </c>
      <c r="AW19" s="40">
        <v>3</v>
      </c>
      <c r="AX19" s="40">
        <v>3</v>
      </c>
      <c r="AY19" s="43">
        <f t="shared" si="7"/>
        <v>2.4000000000000004</v>
      </c>
      <c r="AZ19" s="41"/>
      <c r="BA19" s="43">
        <f t="shared" si="8"/>
        <v>2.4000000000000004</v>
      </c>
      <c r="BB19" s="45"/>
      <c r="BC19" s="422">
        <f t="shared" si="9"/>
        <v>6.78</v>
      </c>
      <c r="BD19" s="422">
        <f t="shared" si="10"/>
        <v>4.7666666666666666</v>
      </c>
      <c r="BE19" s="422">
        <f t="shared" si="11"/>
        <v>3.1687500000000002</v>
      </c>
      <c r="BF19" s="423">
        <f t="shared" si="12"/>
        <v>4.5765624999999996</v>
      </c>
      <c r="BG19" s="47"/>
      <c r="BH19" s="46">
        <f t="shared" si="13"/>
        <v>5.1941666666666659</v>
      </c>
      <c r="BI19" s="112"/>
      <c r="BJ19" s="48">
        <f t="shared" si="14"/>
        <v>4.8853645833333328</v>
      </c>
      <c r="BK19" s="61"/>
    </row>
  </sheetData>
  <sortState ref="A11:BP19">
    <sortCondition descending="1" ref="BJ11:BJ19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X31"/>
  <sheetViews>
    <sheetView workbookViewId="0">
      <pane xSplit="2" topLeftCell="C1" activePane="topRight" state="frozen"/>
      <selection pane="topRight" activeCell="B5" sqref="B5"/>
    </sheetView>
  </sheetViews>
  <sheetFormatPr defaultColWidth="8.85546875" defaultRowHeight="15" x14ac:dyDescent="0.25"/>
  <cols>
    <col min="1" max="1" width="5.42578125" style="4" customWidth="1"/>
    <col min="2" max="2" width="20.7109375" style="4" customWidth="1"/>
    <col min="3" max="3" width="26.42578125" style="4" customWidth="1"/>
    <col min="4" max="4" width="16" style="4" customWidth="1"/>
    <col min="5" max="5" width="16.5703125" style="4" customWidth="1"/>
    <col min="6" max="6" width="3.28515625" style="4" hidden="1" customWidth="1"/>
    <col min="7" max="7" width="7.7109375" style="4" hidden="1" customWidth="1"/>
    <col min="8" max="11" width="7.7109375" style="4" customWidth="1"/>
    <col min="12" max="12" width="8.85546875" style="4"/>
    <col min="13" max="13" width="3.140625" style="4" customWidth="1"/>
    <col min="14" max="16" width="7.7109375" style="4" customWidth="1"/>
    <col min="17" max="17" width="3.28515625" style="4" customWidth="1"/>
    <col min="18" max="25" width="7.7109375" style="4" customWidth="1"/>
    <col min="26" max="26" width="2.85546875" style="4" customWidth="1"/>
    <col min="27" max="27" width="7.42578125" style="233" customWidth="1"/>
    <col min="28" max="29" width="7.7109375" style="233" customWidth="1"/>
    <col min="30" max="30" width="13.42578125" style="4" customWidth="1"/>
    <col min="31" max="31" width="12.42578125" style="4" customWidth="1"/>
    <col min="32" max="49" width="8.85546875" style="4"/>
    <col min="50" max="50" width="10.42578125" style="4" customWidth="1"/>
    <col min="51" max="16384" width="8.85546875" style="4"/>
  </cols>
  <sheetData>
    <row r="1" spans="1:50" ht="15.75" x14ac:dyDescent="0.25">
      <c r="A1" s="52" t="str">
        <f>CompDetail!A1</f>
        <v>NSW State Championships</v>
      </c>
      <c r="B1" s="3"/>
      <c r="C1" s="3"/>
      <c r="D1" s="4" t="s">
        <v>0</v>
      </c>
      <c r="E1" s="4" t="s">
        <v>258</v>
      </c>
      <c r="M1" s="127"/>
      <c r="N1" s="127"/>
      <c r="O1" s="127"/>
      <c r="P1" s="127"/>
      <c r="Q1" s="127"/>
      <c r="AE1" s="128">
        <f ca="1">NOW()</f>
        <v>43266.404079513886</v>
      </c>
      <c r="AF1" s="129"/>
      <c r="AG1" s="127"/>
      <c r="AJ1" s="129"/>
      <c r="AK1" s="129"/>
      <c r="AL1" s="129"/>
      <c r="AM1" s="129"/>
      <c r="AN1" s="129"/>
      <c r="AO1" s="129"/>
      <c r="AP1" s="129"/>
      <c r="AQ1" s="129"/>
      <c r="AR1" s="127"/>
      <c r="AS1" s="127"/>
    </row>
    <row r="2" spans="1:50" ht="15.75" x14ac:dyDescent="0.25">
      <c r="A2" s="53"/>
      <c r="B2" s="3"/>
      <c r="C2" s="3"/>
      <c r="E2" s="4" t="s">
        <v>256</v>
      </c>
      <c r="M2" s="127"/>
      <c r="N2" s="127"/>
      <c r="O2" s="127"/>
      <c r="P2" s="127"/>
      <c r="Q2" s="127"/>
      <c r="AE2" s="130">
        <f ca="1">NOW()</f>
        <v>43266.404079513886</v>
      </c>
      <c r="AG2" s="127"/>
      <c r="AR2" s="127"/>
      <c r="AS2" s="127"/>
    </row>
    <row r="3" spans="1:50" ht="15.75" x14ac:dyDescent="0.25">
      <c r="A3" s="520" t="str">
        <f>CompDetail!A3</f>
        <v>June 9 to 11 2018</v>
      </c>
      <c r="B3" s="521"/>
      <c r="C3" s="3"/>
      <c r="E3" s="4" t="s">
        <v>259</v>
      </c>
      <c r="F3" s="13"/>
      <c r="G3" s="12"/>
      <c r="H3" s="13"/>
      <c r="I3" s="13"/>
      <c r="J3" s="13"/>
      <c r="K3" s="13"/>
      <c r="M3" s="127"/>
      <c r="N3" s="127"/>
      <c r="O3" s="127"/>
      <c r="P3" s="127"/>
      <c r="Q3" s="127"/>
      <c r="AG3" s="127"/>
      <c r="AR3" s="127"/>
      <c r="AS3" s="127"/>
      <c r="AX3" s="130"/>
    </row>
    <row r="4" spans="1:50" ht="15.75" x14ac:dyDescent="0.25">
      <c r="A4" s="53"/>
      <c r="B4" s="3"/>
      <c r="C4" s="3"/>
      <c r="E4" s="3"/>
      <c r="M4" s="127"/>
      <c r="O4" s="127"/>
      <c r="P4" s="127"/>
      <c r="Q4" s="127"/>
      <c r="AG4" s="127"/>
      <c r="AR4" s="127"/>
      <c r="AS4" s="127"/>
      <c r="AX4" s="130"/>
    </row>
    <row r="5" spans="1:50" ht="15.75" x14ac:dyDescent="0.25">
      <c r="A5" s="52" t="s">
        <v>65</v>
      </c>
      <c r="B5" s="2" t="s">
        <v>87</v>
      </c>
      <c r="G5" s="2" t="s">
        <v>58</v>
      </c>
      <c r="H5" s="4" t="str">
        <f>E1</f>
        <v>J Scott</v>
      </c>
      <c r="M5" s="131"/>
      <c r="N5" s="2" t="s">
        <v>57</v>
      </c>
      <c r="O5" s="4" t="str">
        <f>E2</f>
        <v>R Bruderer</v>
      </c>
      <c r="P5" s="2"/>
      <c r="Q5" s="2"/>
      <c r="R5" s="2" t="s">
        <v>59</v>
      </c>
      <c r="S5" s="4" t="str">
        <f>E3</f>
        <v>C Wicks</v>
      </c>
      <c r="X5" s="2"/>
      <c r="Y5" s="2"/>
      <c r="AD5" s="2"/>
      <c r="AG5" s="127"/>
      <c r="AR5" s="127"/>
      <c r="AS5" s="127"/>
    </row>
    <row r="6" spans="1:50" ht="15.75" x14ac:dyDescent="0.25">
      <c r="A6" s="52" t="s">
        <v>64</v>
      </c>
      <c r="B6" s="2" t="s">
        <v>237</v>
      </c>
      <c r="M6" s="127"/>
      <c r="Z6" s="148"/>
      <c r="AG6" s="127"/>
      <c r="AR6" s="127"/>
      <c r="AS6" s="127"/>
    </row>
    <row r="7" spans="1:50" ht="15" customHeight="1" x14ac:dyDescent="0.25">
      <c r="G7" s="2" t="s">
        <v>35</v>
      </c>
      <c r="L7" s="129"/>
      <c r="M7" s="133"/>
      <c r="N7" s="134" t="s">
        <v>22</v>
      </c>
      <c r="O7" s="149"/>
      <c r="P7" s="150" t="s">
        <v>68</v>
      </c>
      <c r="Q7" s="136"/>
      <c r="R7" s="87" t="s">
        <v>23</v>
      </c>
      <c r="Y7" s="135" t="s">
        <v>56</v>
      </c>
      <c r="Z7" s="148"/>
      <c r="AA7" s="486"/>
      <c r="AB7" s="486"/>
      <c r="AC7" s="486"/>
      <c r="AD7" s="135" t="s">
        <v>32</v>
      </c>
    </row>
    <row r="8" spans="1:50" s="136" customFormat="1" ht="15" customHeight="1" x14ac:dyDescent="0.25">
      <c r="A8" s="83" t="s">
        <v>33</v>
      </c>
      <c r="B8" s="83" t="s">
        <v>34</v>
      </c>
      <c r="C8" s="83" t="s">
        <v>35</v>
      </c>
      <c r="D8" s="83" t="s">
        <v>36</v>
      </c>
      <c r="E8" s="83" t="s">
        <v>37</v>
      </c>
      <c r="F8" s="137"/>
      <c r="G8" s="138" t="s">
        <v>7</v>
      </c>
      <c r="H8" s="138" t="s">
        <v>8</v>
      </c>
      <c r="I8" s="138" t="s">
        <v>9</v>
      </c>
      <c r="J8" s="138" t="s">
        <v>10</v>
      </c>
      <c r="K8" s="138" t="s">
        <v>11</v>
      </c>
      <c r="L8" s="139" t="s">
        <v>35</v>
      </c>
      <c r="M8" s="142"/>
      <c r="N8" s="79" t="s">
        <v>45</v>
      </c>
      <c r="O8" s="79" t="s">
        <v>80</v>
      </c>
      <c r="P8" s="85" t="s">
        <v>24</v>
      </c>
      <c r="Q8" s="137"/>
      <c r="R8" s="139" t="s">
        <v>12</v>
      </c>
      <c r="S8" s="138" t="s">
        <v>13</v>
      </c>
      <c r="T8" s="138" t="s">
        <v>14</v>
      </c>
      <c r="U8" s="138" t="s">
        <v>15</v>
      </c>
      <c r="V8" s="138" t="s">
        <v>16</v>
      </c>
      <c r="W8" s="138" t="s">
        <v>42</v>
      </c>
      <c r="X8" s="83" t="s">
        <v>19</v>
      </c>
      <c r="Y8" s="140" t="s">
        <v>24</v>
      </c>
      <c r="Z8" s="151"/>
      <c r="AA8" s="239"/>
      <c r="AB8" s="239"/>
      <c r="AC8" s="239"/>
      <c r="AD8" s="140" t="s">
        <v>43</v>
      </c>
      <c r="AE8" s="83" t="s">
        <v>44</v>
      </c>
    </row>
    <row r="9" spans="1:50" s="136" customFormat="1" ht="15" customHeight="1" x14ac:dyDescent="0.25">
      <c r="A9" s="55"/>
      <c r="B9" s="55"/>
      <c r="C9" s="55"/>
      <c r="D9" s="55"/>
      <c r="E9" s="55"/>
      <c r="F9" s="141"/>
      <c r="G9" s="56"/>
      <c r="H9" s="56"/>
      <c r="I9" s="56"/>
      <c r="J9" s="56"/>
      <c r="K9" s="56"/>
      <c r="L9" s="66"/>
      <c r="M9" s="142"/>
      <c r="N9" s="29"/>
      <c r="O9" s="29"/>
      <c r="P9" s="29"/>
      <c r="Q9" s="141"/>
      <c r="R9" s="66"/>
      <c r="S9" s="56"/>
      <c r="T9" s="56"/>
      <c r="U9" s="56"/>
      <c r="V9" s="56"/>
      <c r="W9" s="56"/>
      <c r="X9" s="55"/>
      <c r="Y9" s="55"/>
      <c r="Z9" s="151"/>
      <c r="AA9" s="486" t="s">
        <v>101</v>
      </c>
      <c r="AB9" s="486" t="s">
        <v>102</v>
      </c>
      <c r="AC9" s="486" t="s">
        <v>103</v>
      </c>
      <c r="AD9" s="87"/>
      <c r="AE9" s="55"/>
    </row>
    <row r="10" spans="1:50" x14ac:dyDescent="0.25">
      <c r="A10" s="315">
        <v>122</v>
      </c>
      <c r="B10" s="319" t="s">
        <v>186</v>
      </c>
      <c r="C10" s="317"/>
      <c r="D10" s="317"/>
      <c r="E10" s="317"/>
      <c r="F10" s="143"/>
      <c r="G10" s="143"/>
      <c r="H10" s="143"/>
      <c r="I10" s="143"/>
      <c r="J10" s="143"/>
      <c r="K10" s="143"/>
      <c r="L10" s="145"/>
      <c r="M10" s="145"/>
      <c r="N10" s="37"/>
      <c r="O10" s="37"/>
      <c r="P10" s="37"/>
      <c r="Q10" s="144"/>
      <c r="R10" s="143"/>
      <c r="S10" s="143"/>
      <c r="T10" s="143"/>
      <c r="U10" s="143"/>
      <c r="V10" s="143"/>
      <c r="W10" s="143"/>
      <c r="X10" s="143"/>
      <c r="Y10" s="143"/>
      <c r="Z10" s="132"/>
      <c r="AA10" s="237"/>
      <c r="AB10" s="238"/>
      <c r="AC10" s="238"/>
      <c r="AD10" s="154"/>
      <c r="AE10" s="143"/>
    </row>
    <row r="11" spans="1:50" x14ac:dyDescent="0.25">
      <c r="A11" s="318">
        <v>121</v>
      </c>
      <c r="B11" s="320" t="s">
        <v>121</v>
      </c>
      <c r="C11" s="318" t="s">
        <v>118</v>
      </c>
      <c r="D11" s="318" t="s">
        <v>119</v>
      </c>
      <c r="E11" s="318" t="s">
        <v>120</v>
      </c>
      <c r="F11" s="473"/>
      <c r="G11" s="474">
        <v>6.5</v>
      </c>
      <c r="H11" s="506">
        <v>6</v>
      </c>
      <c r="I11" s="474">
        <v>7.5</v>
      </c>
      <c r="J11" s="474">
        <v>7.5</v>
      </c>
      <c r="K11" s="506">
        <v>7</v>
      </c>
      <c r="L11" s="475">
        <f>SUM((G11*0.1),(H11*0.1),(I11*0.3),(J11*0.3),(K11*0.2))</f>
        <v>7.15</v>
      </c>
      <c r="M11" s="476"/>
      <c r="N11" s="477">
        <v>7.6</v>
      </c>
      <c r="O11" s="478">
        <v>0</v>
      </c>
      <c r="P11" s="479">
        <f>N11-O11</f>
        <v>7.6</v>
      </c>
      <c r="Q11" s="480"/>
      <c r="R11" s="481">
        <v>6.5</v>
      </c>
      <c r="S11" s="481">
        <v>7</v>
      </c>
      <c r="T11" s="481">
        <v>6.8</v>
      </c>
      <c r="U11" s="481">
        <v>7</v>
      </c>
      <c r="V11" s="481">
        <v>7</v>
      </c>
      <c r="W11" s="475">
        <f>SUM((R11*0.25),(S11*0.25),(T11*0.2),(U11*0.2),(V11*0.1))</f>
        <v>6.8350000000000009</v>
      </c>
      <c r="X11" s="481">
        <v>0</v>
      </c>
      <c r="Y11" s="475">
        <f>W11-X11</f>
        <v>6.8350000000000009</v>
      </c>
      <c r="Z11" s="482"/>
      <c r="AA11" s="483">
        <f>L11</f>
        <v>7.15</v>
      </c>
      <c r="AB11" s="483">
        <f>P11</f>
        <v>7.6</v>
      </c>
      <c r="AC11" s="483">
        <f>Y11</f>
        <v>6.8350000000000009</v>
      </c>
      <c r="AD11" s="484">
        <f>SUM((L11*0.25)+(P11*0.5)+(Y11*0.25))</f>
        <v>7.2962500000000006</v>
      </c>
      <c r="AE11" s="485">
        <v>1</v>
      </c>
    </row>
    <row r="12" spans="1:50" x14ac:dyDescent="0.25">
      <c r="A12" s="315">
        <v>140</v>
      </c>
      <c r="B12" s="319" t="s">
        <v>149</v>
      </c>
      <c r="C12" s="317"/>
      <c r="D12" s="317"/>
      <c r="E12" s="317"/>
      <c r="F12" s="143"/>
      <c r="G12" s="143"/>
      <c r="H12" s="143"/>
      <c r="I12" s="143"/>
      <c r="J12" s="143"/>
      <c r="K12" s="143"/>
      <c r="L12" s="145"/>
      <c r="M12" s="145"/>
      <c r="N12" s="37"/>
      <c r="O12" s="37"/>
      <c r="P12" s="37"/>
      <c r="Q12" s="144"/>
      <c r="R12" s="143"/>
      <c r="S12" s="143"/>
      <c r="T12" s="143"/>
      <c r="U12" s="143"/>
      <c r="V12" s="143"/>
      <c r="W12" s="143"/>
      <c r="X12" s="143"/>
      <c r="Y12" s="154"/>
      <c r="Z12" s="132"/>
      <c r="AA12" s="237"/>
      <c r="AB12" s="238"/>
      <c r="AC12" s="238"/>
      <c r="AD12" s="154"/>
      <c r="AE12" s="143"/>
    </row>
    <row r="13" spans="1:50" x14ac:dyDescent="0.25">
      <c r="A13" s="318">
        <v>136</v>
      </c>
      <c r="B13" s="320" t="s">
        <v>191</v>
      </c>
      <c r="C13" s="318" t="s">
        <v>151</v>
      </c>
      <c r="D13" s="318" t="s">
        <v>152</v>
      </c>
      <c r="E13" s="318" t="s">
        <v>153</v>
      </c>
      <c r="F13" s="473"/>
      <c r="G13" s="474">
        <v>5.2</v>
      </c>
      <c r="H13" s="506">
        <v>5</v>
      </c>
      <c r="I13" s="507">
        <v>6</v>
      </c>
      <c r="J13" s="474">
        <v>6.2</v>
      </c>
      <c r="K13" s="474">
        <v>6.5</v>
      </c>
      <c r="L13" s="475">
        <f>SUM((G13*0.1),(H13*0.1),(I13*0.3),(J13*0.3),(K13*0.2))</f>
        <v>5.9799999999999995</v>
      </c>
      <c r="M13" s="476"/>
      <c r="N13" s="477">
        <v>8.14</v>
      </c>
      <c r="O13" s="478">
        <v>0</v>
      </c>
      <c r="P13" s="479">
        <f>N13-O13</f>
        <v>8.14</v>
      </c>
      <c r="Q13" s="480"/>
      <c r="R13" s="481">
        <v>6.5</v>
      </c>
      <c r="S13" s="481">
        <v>7.5</v>
      </c>
      <c r="T13" s="481">
        <v>6.5</v>
      </c>
      <c r="U13" s="481">
        <v>6</v>
      </c>
      <c r="V13" s="481">
        <v>6.5</v>
      </c>
      <c r="W13" s="475">
        <f>SUM((R13*0.25),(S13*0.25),(T13*0.2),(U13*0.2),(V13*0.1))</f>
        <v>6.65</v>
      </c>
      <c r="X13" s="481">
        <v>0</v>
      </c>
      <c r="Y13" s="475">
        <f>W13-X13</f>
        <v>6.65</v>
      </c>
      <c r="Z13" s="482"/>
      <c r="AA13" s="483">
        <f>L13</f>
        <v>5.9799999999999995</v>
      </c>
      <c r="AB13" s="483">
        <f>P13</f>
        <v>8.14</v>
      </c>
      <c r="AC13" s="483">
        <f>Y13</f>
        <v>6.65</v>
      </c>
      <c r="AD13" s="484">
        <f>SUM((L13*0.25)+(P13*0.5)+(Y13*0.25))</f>
        <v>7.2275000000000009</v>
      </c>
      <c r="AE13" s="485">
        <v>2</v>
      </c>
    </row>
    <row r="14" spans="1:50" x14ac:dyDescent="0.25">
      <c r="A14" s="315">
        <v>143</v>
      </c>
      <c r="B14" s="319" t="s">
        <v>135</v>
      </c>
      <c r="C14" s="317"/>
      <c r="D14" s="317"/>
      <c r="E14" s="317"/>
      <c r="F14" s="143"/>
      <c r="G14" s="143"/>
      <c r="H14" s="143"/>
      <c r="I14" s="143"/>
      <c r="J14" s="143"/>
      <c r="K14" s="143"/>
      <c r="L14" s="145"/>
      <c r="M14" s="145"/>
      <c r="N14" s="37"/>
      <c r="O14" s="37"/>
      <c r="P14" s="37"/>
      <c r="Q14" s="144"/>
      <c r="R14" s="143"/>
      <c r="S14" s="143"/>
      <c r="T14" s="143"/>
      <c r="U14" s="143"/>
      <c r="V14" s="143"/>
      <c r="W14" s="143"/>
      <c r="X14" s="143"/>
      <c r="Y14" s="154"/>
      <c r="Z14" s="132"/>
      <c r="AA14" s="237"/>
      <c r="AB14" s="238"/>
      <c r="AC14" s="238"/>
      <c r="AD14" s="154"/>
      <c r="AE14" s="143"/>
    </row>
    <row r="15" spans="1:50" x14ac:dyDescent="0.25">
      <c r="A15" s="318">
        <v>147</v>
      </c>
      <c r="B15" s="320" t="s">
        <v>157</v>
      </c>
      <c r="C15" s="318" t="s">
        <v>114</v>
      </c>
      <c r="D15" s="318" t="s">
        <v>115</v>
      </c>
      <c r="E15" s="318" t="s">
        <v>116</v>
      </c>
      <c r="F15" s="473"/>
      <c r="G15" s="506">
        <v>6</v>
      </c>
      <c r="H15" s="506">
        <v>6</v>
      </c>
      <c r="I15" s="474">
        <v>6.5</v>
      </c>
      <c r="J15" s="506">
        <v>7</v>
      </c>
      <c r="K15" s="474">
        <v>5.5</v>
      </c>
      <c r="L15" s="475">
        <f>SUM((G15*0.1),(H15*0.1),(I15*0.3),(J15*0.3),(K15*0.2))</f>
        <v>6.35</v>
      </c>
      <c r="M15" s="476"/>
      <c r="N15" s="477">
        <v>7.41</v>
      </c>
      <c r="O15" s="478">
        <v>0</v>
      </c>
      <c r="P15" s="479">
        <f>N15-O15</f>
        <v>7.41</v>
      </c>
      <c r="Q15" s="480"/>
      <c r="R15" s="481">
        <v>7.5</v>
      </c>
      <c r="S15" s="481">
        <v>8</v>
      </c>
      <c r="T15" s="481">
        <v>6.8</v>
      </c>
      <c r="U15" s="481">
        <v>7</v>
      </c>
      <c r="V15" s="481">
        <v>7</v>
      </c>
      <c r="W15" s="475">
        <f>SUM((R15*0.25),(S15*0.25),(T15*0.2),(U15*0.2),(V15*0.1))</f>
        <v>7.3350000000000009</v>
      </c>
      <c r="X15" s="481">
        <v>0</v>
      </c>
      <c r="Y15" s="475">
        <f>W15-X15</f>
        <v>7.3350000000000009</v>
      </c>
      <c r="Z15" s="482"/>
      <c r="AA15" s="483">
        <f>L15</f>
        <v>6.35</v>
      </c>
      <c r="AB15" s="483">
        <f>P15</f>
        <v>7.41</v>
      </c>
      <c r="AC15" s="483">
        <f>Y15</f>
        <v>7.3350000000000009</v>
      </c>
      <c r="AD15" s="484">
        <f>SUM((L15*0.25)+(P15*0.5)+(Y15*0.25))</f>
        <v>7.1262500000000006</v>
      </c>
      <c r="AE15" s="485">
        <v>3</v>
      </c>
    </row>
    <row r="16" spans="1:50" x14ac:dyDescent="0.25">
      <c r="A16" s="315">
        <v>146</v>
      </c>
      <c r="B16" s="319" t="s">
        <v>158</v>
      </c>
      <c r="C16" s="317"/>
      <c r="D16" s="317"/>
      <c r="E16" s="317"/>
      <c r="F16" s="143"/>
      <c r="G16" s="143"/>
      <c r="H16" s="143"/>
      <c r="I16" s="143"/>
      <c r="J16" s="143"/>
      <c r="K16" s="143"/>
      <c r="L16" s="145"/>
      <c r="M16" s="145"/>
      <c r="N16" s="37"/>
      <c r="O16" s="37"/>
      <c r="P16" s="37"/>
      <c r="Q16" s="144"/>
      <c r="R16" s="143"/>
      <c r="S16" s="143"/>
      <c r="T16" s="143"/>
      <c r="U16" s="143"/>
      <c r="V16" s="143"/>
      <c r="W16" s="143"/>
      <c r="X16" s="143"/>
      <c r="Y16" s="154"/>
      <c r="Z16" s="132"/>
      <c r="AA16" s="237"/>
      <c r="AB16" s="238"/>
      <c r="AC16" s="238"/>
      <c r="AD16" s="154"/>
      <c r="AE16" s="143"/>
    </row>
    <row r="17" spans="1:31" x14ac:dyDescent="0.25">
      <c r="A17" s="318">
        <v>145</v>
      </c>
      <c r="B17" s="320" t="s">
        <v>134</v>
      </c>
      <c r="C17" s="318" t="s">
        <v>114</v>
      </c>
      <c r="D17" s="318" t="s">
        <v>115</v>
      </c>
      <c r="E17" s="318" t="s">
        <v>116</v>
      </c>
      <c r="F17" s="473"/>
      <c r="G17" s="506">
        <v>6</v>
      </c>
      <c r="H17" s="506">
        <v>6</v>
      </c>
      <c r="I17" s="474">
        <v>6.5</v>
      </c>
      <c r="J17" s="474">
        <v>6.5</v>
      </c>
      <c r="K17" s="474">
        <v>5.5</v>
      </c>
      <c r="L17" s="475">
        <f>SUM((G17*0.1),(H17*0.1),(I17*0.3),(J17*0.3),(K17*0.2))</f>
        <v>6.2000000000000011</v>
      </c>
      <c r="M17" s="476"/>
      <c r="N17" s="477">
        <v>7</v>
      </c>
      <c r="O17" s="478">
        <v>0</v>
      </c>
      <c r="P17" s="479">
        <f>N17-O17</f>
        <v>7</v>
      </c>
      <c r="Q17" s="480"/>
      <c r="R17" s="481">
        <v>7.5</v>
      </c>
      <c r="S17" s="481">
        <v>8</v>
      </c>
      <c r="T17" s="481">
        <v>8</v>
      </c>
      <c r="U17" s="481">
        <v>7</v>
      </c>
      <c r="V17" s="481">
        <v>7.5</v>
      </c>
      <c r="W17" s="475">
        <f>SUM((R17*0.25),(S17*0.25),(T17*0.2),(U17*0.2),(V17*0.1))</f>
        <v>7.625</v>
      </c>
      <c r="X17" s="481">
        <v>0</v>
      </c>
      <c r="Y17" s="475">
        <f>W17-X17</f>
        <v>7.625</v>
      </c>
      <c r="Z17" s="482"/>
      <c r="AA17" s="483">
        <f>L17</f>
        <v>6.2000000000000011</v>
      </c>
      <c r="AB17" s="483">
        <f>P17</f>
        <v>7</v>
      </c>
      <c r="AC17" s="483">
        <f>Y17</f>
        <v>7.625</v>
      </c>
      <c r="AD17" s="484">
        <f>SUM((L17*0.25)+(P17*0.5)+(Y17*0.25))</f>
        <v>6.9562500000000007</v>
      </c>
      <c r="AE17" s="485">
        <v>4</v>
      </c>
    </row>
    <row r="18" spans="1:31" ht="15" customHeight="1" x14ac:dyDescent="0.25">
      <c r="A18" s="315">
        <v>135</v>
      </c>
      <c r="B18" s="319" t="s">
        <v>145</v>
      </c>
      <c r="C18" s="153"/>
      <c r="D18" s="153"/>
      <c r="E18" s="153"/>
      <c r="F18" s="143"/>
      <c r="G18" s="143"/>
      <c r="H18" s="143"/>
      <c r="I18" s="143"/>
      <c r="J18" s="143"/>
      <c r="K18" s="143"/>
      <c r="L18" s="145"/>
      <c r="M18" s="145"/>
      <c r="N18" s="37"/>
      <c r="O18" s="37"/>
      <c r="P18" s="37"/>
      <c r="Q18" s="144"/>
      <c r="R18" s="143"/>
      <c r="S18" s="143"/>
      <c r="T18" s="143"/>
      <c r="U18" s="143"/>
      <c r="V18" s="143"/>
      <c r="W18" s="143"/>
      <c r="X18" s="143"/>
      <c r="Y18" s="154"/>
      <c r="Z18" s="132"/>
      <c r="AA18" s="237"/>
      <c r="AB18" s="238"/>
      <c r="AC18" s="238"/>
      <c r="AD18" s="154"/>
      <c r="AE18" s="143"/>
    </row>
    <row r="19" spans="1:31" ht="15" customHeight="1" x14ac:dyDescent="0.25">
      <c r="A19" s="318">
        <v>141</v>
      </c>
      <c r="B19" s="320" t="s">
        <v>146</v>
      </c>
      <c r="C19" s="318" t="s">
        <v>151</v>
      </c>
      <c r="D19" s="318" t="s">
        <v>152</v>
      </c>
      <c r="E19" s="318" t="s">
        <v>153</v>
      </c>
      <c r="F19" s="473"/>
      <c r="G19" s="506">
        <v>6</v>
      </c>
      <c r="H19" s="506">
        <v>5</v>
      </c>
      <c r="I19" s="506">
        <v>4</v>
      </c>
      <c r="J19" s="474">
        <v>5.5</v>
      </c>
      <c r="K19" s="474">
        <v>7.5</v>
      </c>
      <c r="L19" s="475">
        <f>SUM((G19*0.1),(H19*0.1),(I19*0.3),(J19*0.3),(K19*0.2))</f>
        <v>5.4499999999999993</v>
      </c>
      <c r="M19" s="476"/>
      <c r="N19" s="477">
        <v>7.2</v>
      </c>
      <c r="O19" s="478">
        <v>0</v>
      </c>
      <c r="P19" s="479">
        <f>N19-O19</f>
        <v>7.2</v>
      </c>
      <c r="Q19" s="480"/>
      <c r="R19" s="481">
        <v>7</v>
      </c>
      <c r="S19" s="481">
        <v>8</v>
      </c>
      <c r="T19" s="481">
        <v>7.5</v>
      </c>
      <c r="U19" s="481">
        <v>7</v>
      </c>
      <c r="V19" s="481">
        <v>8</v>
      </c>
      <c r="W19" s="475">
        <f>SUM((R19*0.25),(S19*0.25),(T19*0.2),(U19*0.2),(V19*0.1))</f>
        <v>7.45</v>
      </c>
      <c r="X19" s="481">
        <v>0</v>
      </c>
      <c r="Y19" s="475">
        <f>W19-X19</f>
        <v>7.45</v>
      </c>
      <c r="Z19" s="482"/>
      <c r="AA19" s="483">
        <f>L19</f>
        <v>5.4499999999999993</v>
      </c>
      <c r="AB19" s="483">
        <f>P19</f>
        <v>7.2</v>
      </c>
      <c r="AC19" s="483">
        <f>Y19</f>
        <v>7.45</v>
      </c>
      <c r="AD19" s="484">
        <f>SUM((L19*0.25)+(P19*0.5)+(Y19*0.25))</f>
        <v>6.8250000000000002</v>
      </c>
      <c r="AE19" s="485">
        <v>5</v>
      </c>
    </row>
    <row r="20" spans="1:31" x14ac:dyDescent="0.25">
      <c r="A20" s="315">
        <v>142</v>
      </c>
      <c r="B20" s="319" t="s">
        <v>147</v>
      </c>
      <c r="C20" s="317"/>
      <c r="D20" s="317"/>
      <c r="E20" s="317"/>
      <c r="F20" s="143"/>
      <c r="G20" s="143"/>
      <c r="H20" s="143"/>
      <c r="I20" s="143"/>
      <c r="J20" s="143"/>
      <c r="K20" s="143"/>
      <c r="L20" s="145"/>
      <c r="M20" s="145"/>
      <c r="N20" s="37"/>
      <c r="O20" s="37"/>
      <c r="P20" s="37"/>
      <c r="Q20" s="144"/>
      <c r="R20" s="143"/>
      <c r="S20" s="143"/>
      <c r="T20" s="143"/>
      <c r="U20" s="143"/>
      <c r="V20" s="143"/>
      <c r="W20" s="143"/>
      <c r="X20" s="143"/>
      <c r="Y20" s="154"/>
      <c r="Z20" s="132"/>
      <c r="AA20" s="237"/>
      <c r="AB20" s="238"/>
      <c r="AC20" s="238"/>
      <c r="AD20" s="154"/>
      <c r="AE20" s="143"/>
    </row>
    <row r="21" spans="1:31" x14ac:dyDescent="0.25">
      <c r="A21" s="318">
        <v>139</v>
      </c>
      <c r="B21" s="320" t="s">
        <v>148</v>
      </c>
      <c r="C21" s="318" t="s">
        <v>151</v>
      </c>
      <c r="D21" s="318" t="s">
        <v>152</v>
      </c>
      <c r="E21" s="318" t="s">
        <v>153</v>
      </c>
      <c r="F21" s="473"/>
      <c r="G21" s="506">
        <v>5</v>
      </c>
      <c r="H21" s="506">
        <v>6</v>
      </c>
      <c r="I21" s="506">
        <v>6</v>
      </c>
      <c r="J21" s="474">
        <v>6.5</v>
      </c>
      <c r="K21" s="474">
        <v>6.5</v>
      </c>
      <c r="L21" s="475">
        <f>SUM((G21*0.1),(H21*0.1),(I21*0.3),(J21*0.3),(K21*0.2))</f>
        <v>6.1499999999999995</v>
      </c>
      <c r="M21" s="476"/>
      <c r="N21" s="477">
        <v>7.23</v>
      </c>
      <c r="O21" s="478">
        <v>0</v>
      </c>
      <c r="P21" s="479">
        <f>N21-O21</f>
        <v>7.23</v>
      </c>
      <c r="Q21" s="480"/>
      <c r="R21" s="481">
        <v>6.5</v>
      </c>
      <c r="S21" s="481">
        <v>6</v>
      </c>
      <c r="T21" s="481">
        <v>5.5</v>
      </c>
      <c r="U21" s="481">
        <v>5</v>
      </c>
      <c r="V21" s="481">
        <v>6</v>
      </c>
      <c r="W21" s="475">
        <f>SUM((R21*0.25),(S21*0.25),(T21*0.2),(U21*0.2),(V21*0.1))</f>
        <v>5.8249999999999993</v>
      </c>
      <c r="X21" s="481">
        <v>0</v>
      </c>
      <c r="Y21" s="475">
        <f>W21-X21</f>
        <v>5.8249999999999993</v>
      </c>
      <c r="Z21" s="482"/>
      <c r="AA21" s="483">
        <f>L21</f>
        <v>6.1499999999999995</v>
      </c>
      <c r="AB21" s="483">
        <f>P21</f>
        <v>7.23</v>
      </c>
      <c r="AC21" s="483">
        <f>Y21</f>
        <v>5.8249999999999993</v>
      </c>
      <c r="AD21" s="484">
        <f>SUM((L21*0.25)+(P21*0.5)+(Y21*0.25))</f>
        <v>6.6087499999999997</v>
      </c>
      <c r="AE21" s="485">
        <v>6</v>
      </c>
    </row>
    <row r="22" spans="1:31" x14ac:dyDescent="0.25">
      <c r="A22" s="315">
        <v>113</v>
      </c>
      <c r="B22" s="319" t="s">
        <v>172</v>
      </c>
      <c r="C22" s="317"/>
      <c r="D22" s="317"/>
      <c r="E22" s="317"/>
      <c r="F22" s="143"/>
      <c r="G22" s="143"/>
      <c r="H22" s="143"/>
      <c r="I22" s="143"/>
      <c r="J22" s="143"/>
      <c r="K22" s="143"/>
      <c r="L22" s="145"/>
      <c r="M22" s="145"/>
      <c r="N22" s="37"/>
      <c r="O22" s="37"/>
      <c r="P22" s="37"/>
      <c r="Q22" s="144"/>
      <c r="R22" s="143"/>
      <c r="S22" s="143"/>
      <c r="T22" s="143"/>
      <c r="U22" s="143"/>
      <c r="V22" s="143"/>
      <c r="W22" s="143"/>
      <c r="X22" s="143"/>
      <c r="Y22" s="154"/>
      <c r="Z22" s="132"/>
      <c r="AA22" s="237"/>
      <c r="AB22" s="238"/>
      <c r="AC22" s="238"/>
      <c r="AD22" s="154"/>
      <c r="AE22" s="143"/>
    </row>
    <row r="23" spans="1:31" x14ac:dyDescent="0.25">
      <c r="A23" s="318">
        <v>159</v>
      </c>
      <c r="B23" s="320" t="s">
        <v>174</v>
      </c>
      <c r="C23" s="318" t="s">
        <v>175</v>
      </c>
      <c r="D23" s="318" t="s">
        <v>176</v>
      </c>
      <c r="E23" s="318" t="s">
        <v>177</v>
      </c>
      <c r="F23" s="473"/>
      <c r="G23" s="474">
        <v>5.5</v>
      </c>
      <c r="H23" s="474">
        <v>6.5</v>
      </c>
      <c r="I23" s="474">
        <v>7.5</v>
      </c>
      <c r="J23" s="474">
        <v>7.5</v>
      </c>
      <c r="K23" s="474">
        <v>7.5</v>
      </c>
      <c r="L23" s="475">
        <f>SUM((G23*0.1),(H23*0.1),(I23*0.3),(J23*0.3),(K23*0.2))</f>
        <v>7.2</v>
      </c>
      <c r="M23" s="476"/>
      <c r="N23" s="477">
        <v>6.36</v>
      </c>
      <c r="O23" s="478">
        <v>0</v>
      </c>
      <c r="P23" s="479">
        <f>N23-O23</f>
        <v>6.36</v>
      </c>
      <c r="Q23" s="480"/>
      <c r="R23" s="481">
        <v>6</v>
      </c>
      <c r="S23" s="481">
        <v>7</v>
      </c>
      <c r="T23" s="481">
        <v>6</v>
      </c>
      <c r="U23" s="481">
        <v>5.5</v>
      </c>
      <c r="V23" s="481">
        <v>6.5</v>
      </c>
      <c r="W23" s="475">
        <f>SUM((R23*0.25),(S23*0.25),(T23*0.2),(U23*0.2),(V23*0.1))</f>
        <v>6.2000000000000011</v>
      </c>
      <c r="X23" s="481">
        <v>0</v>
      </c>
      <c r="Y23" s="475">
        <f>W23-X23</f>
        <v>6.2000000000000011</v>
      </c>
      <c r="Z23" s="482"/>
      <c r="AA23" s="483">
        <f>L23</f>
        <v>7.2</v>
      </c>
      <c r="AB23" s="483">
        <f>P23</f>
        <v>6.36</v>
      </c>
      <c r="AC23" s="483">
        <f>Y23</f>
        <v>6.2000000000000011</v>
      </c>
      <c r="AD23" s="484">
        <f>SUM((L23*0.25)+(P23*0.5)+(Y23*0.25))</f>
        <v>6.5300000000000011</v>
      </c>
      <c r="AE23" s="485"/>
    </row>
    <row r="24" spans="1:31" x14ac:dyDescent="0.25">
      <c r="A24" s="315">
        <v>87</v>
      </c>
      <c r="B24" s="319" t="s">
        <v>126</v>
      </c>
      <c r="C24" s="317"/>
      <c r="D24" s="317"/>
      <c r="E24" s="317"/>
      <c r="F24" s="143"/>
      <c r="G24" s="143"/>
      <c r="H24" s="143"/>
      <c r="I24" s="143"/>
      <c r="J24" s="143"/>
      <c r="K24" s="143"/>
      <c r="L24" s="145"/>
      <c r="M24" s="145"/>
      <c r="N24" s="37"/>
      <c r="O24" s="37"/>
      <c r="P24" s="37"/>
      <c r="Q24" s="144"/>
      <c r="R24" s="143"/>
      <c r="S24" s="143"/>
      <c r="T24" s="143"/>
      <c r="U24" s="143"/>
      <c r="V24" s="143"/>
      <c r="W24" s="143"/>
      <c r="X24" s="143"/>
      <c r="Y24" s="154"/>
      <c r="Z24" s="132"/>
      <c r="AA24" s="237"/>
      <c r="AB24" s="238"/>
      <c r="AC24" s="238"/>
      <c r="AD24" s="154"/>
      <c r="AE24" s="143"/>
    </row>
    <row r="25" spans="1:31" x14ac:dyDescent="0.25">
      <c r="A25" s="318">
        <v>93</v>
      </c>
      <c r="B25" s="320" t="s">
        <v>127</v>
      </c>
      <c r="C25" s="318" t="s">
        <v>156</v>
      </c>
      <c r="D25" s="318" t="s">
        <v>131</v>
      </c>
      <c r="E25" s="318" t="s">
        <v>132</v>
      </c>
      <c r="F25" s="473"/>
      <c r="G25" s="474">
        <v>5.8</v>
      </c>
      <c r="H25" s="506">
        <v>5</v>
      </c>
      <c r="I25" s="506">
        <v>4</v>
      </c>
      <c r="J25" s="474">
        <v>5.5</v>
      </c>
      <c r="K25" s="506">
        <v>7</v>
      </c>
      <c r="L25" s="475">
        <f>SUM((G25*0.1),(H25*0.1),(I25*0.3),(J25*0.3),(K25*0.2))</f>
        <v>5.33</v>
      </c>
      <c r="M25" s="476"/>
      <c r="N25" s="477">
        <v>6.37</v>
      </c>
      <c r="O25" s="478">
        <v>0</v>
      </c>
      <c r="P25" s="479">
        <f>N25-O25</f>
        <v>6.37</v>
      </c>
      <c r="Q25" s="480"/>
      <c r="R25" s="481">
        <v>6.5</v>
      </c>
      <c r="S25" s="481">
        <v>8</v>
      </c>
      <c r="T25" s="481">
        <v>7</v>
      </c>
      <c r="U25" s="481">
        <v>7</v>
      </c>
      <c r="V25" s="481">
        <v>8</v>
      </c>
      <c r="W25" s="475">
        <f>SUM((R25*0.25),(S25*0.25),(T25*0.2),(U25*0.2),(V25*0.1))</f>
        <v>7.2250000000000005</v>
      </c>
      <c r="X25" s="481">
        <v>0</v>
      </c>
      <c r="Y25" s="475">
        <f>W25-X25</f>
        <v>7.2250000000000005</v>
      </c>
      <c r="Z25" s="482"/>
      <c r="AA25" s="483">
        <f>L25</f>
        <v>5.33</v>
      </c>
      <c r="AB25" s="483">
        <f>P25</f>
        <v>6.37</v>
      </c>
      <c r="AC25" s="483">
        <f>Y25</f>
        <v>7.2250000000000005</v>
      </c>
      <c r="AD25" s="484">
        <f>SUM((L25*0.25)+(P25*0.5)+(Y25*0.25))</f>
        <v>6.3237500000000004</v>
      </c>
      <c r="AE25" s="485"/>
    </row>
    <row r="26" spans="1:31" ht="15" customHeight="1" x14ac:dyDescent="0.25">
      <c r="A26" s="315">
        <v>92</v>
      </c>
      <c r="B26" s="319" t="s">
        <v>129</v>
      </c>
      <c r="C26" s="317"/>
      <c r="D26" s="317"/>
      <c r="E26" s="317"/>
      <c r="F26" s="143"/>
      <c r="G26" s="143"/>
      <c r="H26" s="143"/>
      <c r="I26" s="143"/>
      <c r="J26" s="143"/>
      <c r="K26" s="143"/>
      <c r="L26" s="145"/>
      <c r="M26" s="145"/>
      <c r="N26" s="37"/>
      <c r="O26" s="37"/>
      <c r="P26" s="37"/>
      <c r="Q26" s="144"/>
      <c r="R26" s="143"/>
      <c r="S26" s="143"/>
      <c r="T26" s="143"/>
      <c r="U26" s="143"/>
      <c r="V26" s="143"/>
      <c r="W26" s="143"/>
      <c r="X26" s="143"/>
      <c r="Y26" s="154"/>
      <c r="Z26" s="132"/>
      <c r="AA26" s="237"/>
      <c r="AB26" s="238"/>
      <c r="AC26" s="238"/>
      <c r="AD26" s="154"/>
      <c r="AE26" s="143"/>
    </row>
    <row r="27" spans="1:31" ht="15" customHeight="1" x14ac:dyDescent="0.25">
      <c r="A27" s="318">
        <v>88</v>
      </c>
      <c r="B27" s="320" t="s">
        <v>124</v>
      </c>
      <c r="C27" s="318" t="s">
        <v>156</v>
      </c>
      <c r="D27" s="318" t="s">
        <v>131</v>
      </c>
      <c r="E27" s="318" t="s">
        <v>132</v>
      </c>
      <c r="F27" s="473"/>
      <c r="G27" s="474">
        <v>5.5</v>
      </c>
      <c r="H27" s="506">
        <v>5</v>
      </c>
      <c r="I27" s="506">
        <v>6</v>
      </c>
      <c r="J27" s="474">
        <v>5.5</v>
      </c>
      <c r="K27" s="506">
        <v>7</v>
      </c>
      <c r="L27" s="475">
        <f>SUM((G27*0.1),(H27*0.1),(I27*0.3),(J27*0.3),(K27*0.2))</f>
        <v>5.9</v>
      </c>
      <c r="M27" s="476"/>
      <c r="N27" s="477">
        <v>6.75</v>
      </c>
      <c r="O27" s="478">
        <v>0</v>
      </c>
      <c r="P27" s="479">
        <f>N27-O27</f>
        <v>6.75</v>
      </c>
      <c r="Q27" s="480"/>
      <c r="R27" s="481">
        <v>6</v>
      </c>
      <c r="S27" s="481">
        <v>5</v>
      </c>
      <c r="T27" s="481">
        <v>5.5</v>
      </c>
      <c r="U27" s="481">
        <v>6</v>
      </c>
      <c r="V27" s="481">
        <v>7</v>
      </c>
      <c r="W27" s="475">
        <f>SUM((R27*0.25),(S27*0.25),(T27*0.2),(U27*0.2),(V27*0.1))</f>
        <v>5.7500000000000009</v>
      </c>
      <c r="X27" s="481">
        <v>0</v>
      </c>
      <c r="Y27" s="475">
        <f>W27-X27</f>
        <v>5.7500000000000009</v>
      </c>
      <c r="Z27" s="482"/>
      <c r="AA27" s="483">
        <f>L27</f>
        <v>5.9</v>
      </c>
      <c r="AB27" s="483">
        <f>P27</f>
        <v>6.75</v>
      </c>
      <c r="AC27" s="483">
        <f>Y27</f>
        <v>5.7500000000000009</v>
      </c>
      <c r="AD27" s="484">
        <f>SUM((L27*0.25)+(P27*0.5)+(Y27*0.25))</f>
        <v>6.2874999999999996</v>
      </c>
      <c r="AE27" s="485"/>
    </row>
    <row r="28" spans="1:31" x14ac:dyDescent="0.25">
      <c r="A28" s="315">
        <v>89</v>
      </c>
      <c r="B28" s="319" t="s">
        <v>125</v>
      </c>
      <c r="C28" s="317"/>
      <c r="D28" s="317"/>
      <c r="E28" s="472" t="s">
        <v>109</v>
      </c>
      <c r="F28" s="143"/>
      <c r="G28" s="143"/>
      <c r="H28" s="143"/>
      <c r="I28" s="143"/>
      <c r="J28" s="143"/>
      <c r="K28" s="143"/>
      <c r="L28" s="145"/>
      <c r="M28" s="145"/>
      <c r="N28" s="37"/>
      <c r="O28" s="37"/>
      <c r="P28" s="37"/>
      <c r="Q28" s="144"/>
      <c r="R28" s="143"/>
      <c r="S28" s="143"/>
      <c r="T28" s="143"/>
      <c r="U28" s="143"/>
      <c r="V28" s="143"/>
      <c r="W28" s="143"/>
      <c r="X28" s="143"/>
      <c r="Y28" s="154"/>
      <c r="Z28" s="132"/>
      <c r="AA28" s="237"/>
      <c r="AB28" s="238"/>
      <c r="AC28" s="238"/>
      <c r="AD28" s="154"/>
      <c r="AE28" s="143"/>
    </row>
    <row r="29" spans="1:31" x14ac:dyDescent="0.25">
      <c r="A29" s="318">
        <v>150</v>
      </c>
      <c r="B29" s="320" t="s">
        <v>161</v>
      </c>
      <c r="C29" s="318" t="s">
        <v>107</v>
      </c>
      <c r="D29" s="318" t="s">
        <v>108</v>
      </c>
      <c r="E29" s="318" t="s">
        <v>132</v>
      </c>
      <c r="F29" s="473"/>
      <c r="G29" s="506">
        <v>6</v>
      </c>
      <c r="H29" s="506">
        <v>5</v>
      </c>
      <c r="I29" s="474">
        <v>5.5</v>
      </c>
      <c r="J29" s="506">
        <v>5</v>
      </c>
      <c r="K29" s="474">
        <v>5.5</v>
      </c>
      <c r="L29" s="475">
        <f>SUM((G29*0.1),(H29*0.1),(I29*0.3),(J29*0.3),(K29*0.2))</f>
        <v>5.35</v>
      </c>
      <c r="M29" s="476"/>
      <c r="N29" s="477">
        <v>6.75</v>
      </c>
      <c r="O29" s="478">
        <v>0</v>
      </c>
      <c r="P29" s="479">
        <f>N29-O29</f>
        <v>6.75</v>
      </c>
      <c r="Q29" s="480"/>
      <c r="R29" s="481">
        <v>5.8</v>
      </c>
      <c r="S29" s="481">
        <v>5.5</v>
      </c>
      <c r="T29" s="481">
        <v>6</v>
      </c>
      <c r="U29" s="481">
        <v>6</v>
      </c>
      <c r="V29" s="481">
        <v>6</v>
      </c>
      <c r="W29" s="475">
        <f>SUM((R29*0.25),(S29*0.25),(T29*0.2),(U29*0.2),(V29*0.1))</f>
        <v>5.8250000000000011</v>
      </c>
      <c r="X29" s="481">
        <v>0</v>
      </c>
      <c r="Y29" s="475">
        <f>W29-X29</f>
        <v>5.8250000000000011</v>
      </c>
      <c r="Z29" s="482"/>
      <c r="AA29" s="483">
        <f>L29</f>
        <v>5.35</v>
      </c>
      <c r="AB29" s="483">
        <f>P29</f>
        <v>6.75</v>
      </c>
      <c r="AC29" s="483">
        <f>Y29</f>
        <v>5.8250000000000011</v>
      </c>
      <c r="AD29" s="484">
        <f>SUM((L29*0.25)+(P29*0.5)+(Y29*0.25))</f>
        <v>6.1687500000000011</v>
      </c>
      <c r="AE29" s="485"/>
    </row>
    <row r="30" spans="1:31" x14ac:dyDescent="0.25">
      <c r="A30" s="315">
        <v>137</v>
      </c>
      <c r="B30" s="319" t="s">
        <v>189</v>
      </c>
      <c r="C30" s="317"/>
      <c r="D30" s="317"/>
      <c r="E30" s="317"/>
      <c r="F30" s="143"/>
      <c r="G30" s="143"/>
      <c r="H30" s="143"/>
      <c r="I30" s="143"/>
      <c r="J30" s="143"/>
      <c r="K30" s="143"/>
      <c r="L30" s="145"/>
      <c r="M30" s="145"/>
      <c r="N30" s="37"/>
      <c r="O30" s="37"/>
      <c r="P30" s="37"/>
      <c r="Q30" s="144"/>
      <c r="R30" s="143"/>
      <c r="S30" s="143"/>
      <c r="T30" s="143"/>
      <c r="U30" s="143"/>
      <c r="V30" s="143"/>
      <c r="W30" s="143"/>
      <c r="X30" s="143"/>
      <c r="Y30" s="154"/>
      <c r="Z30" s="132"/>
      <c r="AA30" s="237"/>
      <c r="AB30" s="238"/>
      <c r="AC30" s="238"/>
      <c r="AD30" s="154"/>
      <c r="AE30" s="143"/>
    </row>
    <row r="31" spans="1:31" x14ac:dyDescent="0.25">
      <c r="A31" s="318">
        <v>138</v>
      </c>
      <c r="B31" s="320" t="s">
        <v>150</v>
      </c>
      <c r="C31" s="318" t="s">
        <v>151</v>
      </c>
      <c r="D31" s="318" t="s">
        <v>152</v>
      </c>
      <c r="E31" s="318" t="s">
        <v>153</v>
      </c>
      <c r="F31" s="473"/>
      <c r="G31" s="506">
        <v>6</v>
      </c>
      <c r="H31" s="474">
        <v>5.5</v>
      </c>
      <c r="I31" s="474">
        <v>5.8</v>
      </c>
      <c r="J31" s="506">
        <v>6</v>
      </c>
      <c r="K31" s="474">
        <v>7.5</v>
      </c>
      <c r="L31" s="475">
        <f>SUM((G31*0.1),(H31*0.1),(I31*0.3),(J31*0.3),(K31*0.2))</f>
        <v>6.1899999999999995</v>
      </c>
      <c r="M31" s="476"/>
      <c r="N31" s="477">
        <v>6.06</v>
      </c>
      <c r="O31" s="478">
        <v>0</v>
      </c>
      <c r="P31" s="479">
        <f>N31-O31</f>
        <v>6.06</v>
      </c>
      <c r="Q31" s="480"/>
      <c r="R31" s="481">
        <v>5.5</v>
      </c>
      <c r="S31" s="481">
        <v>5</v>
      </c>
      <c r="T31" s="481">
        <v>5</v>
      </c>
      <c r="U31" s="481">
        <v>5.5</v>
      </c>
      <c r="V31" s="481">
        <v>6</v>
      </c>
      <c r="W31" s="475">
        <f>SUM((R31*0.25),(S31*0.25),(T31*0.2),(U31*0.2),(V31*0.1))</f>
        <v>5.3249999999999993</v>
      </c>
      <c r="X31" s="481">
        <v>0</v>
      </c>
      <c r="Y31" s="475">
        <f>W31-X31</f>
        <v>5.3249999999999993</v>
      </c>
      <c r="Z31" s="482"/>
      <c r="AA31" s="483">
        <f>L31</f>
        <v>6.1899999999999995</v>
      </c>
      <c r="AB31" s="483">
        <f>P31</f>
        <v>6.06</v>
      </c>
      <c r="AC31" s="483">
        <f>Y31</f>
        <v>5.3249999999999993</v>
      </c>
      <c r="AD31" s="484">
        <f>SUM((L31*0.25)+(P31*0.5)+(Y31*0.25))</f>
        <v>5.9087499999999995</v>
      </c>
      <c r="AE31" s="485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5C566-491B-4B02-9310-853400DB1C3B}">
  <sheetPr>
    <pageSetUpPr fitToPage="1"/>
  </sheetPr>
  <dimension ref="A1:AX39"/>
  <sheetViews>
    <sheetView workbookViewId="0">
      <pane xSplit="2" topLeftCell="C1" activePane="topRight" state="frozen"/>
      <selection pane="topRight" activeCell="A6" sqref="A6"/>
    </sheetView>
  </sheetViews>
  <sheetFormatPr defaultColWidth="8.85546875" defaultRowHeight="15" x14ac:dyDescent="0.25"/>
  <cols>
    <col min="1" max="1" width="5.42578125" style="4" customWidth="1"/>
    <col min="2" max="2" width="20.7109375" style="4" customWidth="1"/>
    <col min="3" max="3" width="26.42578125" style="4" customWidth="1"/>
    <col min="4" max="4" width="16" style="4" customWidth="1"/>
    <col min="5" max="5" width="16.42578125" style="4" customWidth="1"/>
    <col min="6" max="6" width="3.28515625" style="4" hidden="1" customWidth="1"/>
    <col min="7" max="7" width="7.7109375" style="4" hidden="1" customWidth="1"/>
    <col min="8" max="11" width="7.7109375" style="4" customWidth="1"/>
    <col min="12" max="12" width="8.85546875" style="4"/>
    <col min="13" max="13" width="3.140625" style="4" customWidth="1"/>
    <col min="14" max="16" width="7.7109375" style="4" customWidth="1"/>
    <col min="17" max="17" width="3.28515625" style="4" customWidth="1"/>
    <col min="18" max="25" width="7.7109375" style="4" customWidth="1"/>
    <col min="26" max="26" width="2.85546875" style="4" customWidth="1"/>
    <col min="27" max="27" width="7.42578125" style="233" customWidth="1"/>
    <col min="28" max="29" width="7.7109375" style="233" customWidth="1"/>
    <col min="30" max="30" width="13.42578125" style="4" customWidth="1"/>
    <col min="31" max="31" width="12.42578125" style="4" customWidth="1"/>
    <col min="32" max="49" width="8.85546875" style="4"/>
    <col min="50" max="50" width="10.42578125" style="4" customWidth="1"/>
    <col min="51" max="16384" width="8.85546875" style="4"/>
  </cols>
  <sheetData>
    <row r="1" spans="1:50" ht="15.75" x14ac:dyDescent="0.25">
      <c r="A1" s="52" t="str">
        <f>CompDetail!A1</f>
        <v>NSW State Championships</v>
      </c>
      <c r="B1" s="3"/>
      <c r="C1" s="3"/>
      <c r="D1" s="4" t="s">
        <v>0</v>
      </c>
      <c r="E1" s="4" t="s">
        <v>256</v>
      </c>
      <c r="M1" s="127"/>
      <c r="N1" s="127"/>
      <c r="O1" s="127"/>
      <c r="P1" s="127"/>
      <c r="Q1" s="127"/>
      <c r="AE1" s="128">
        <f ca="1">NOW()</f>
        <v>43266.404079513886</v>
      </c>
      <c r="AF1" s="129"/>
      <c r="AG1" s="127"/>
      <c r="AJ1" s="129"/>
      <c r="AK1" s="129"/>
      <c r="AL1" s="129"/>
      <c r="AM1" s="129"/>
      <c r="AN1" s="129"/>
      <c r="AO1" s="129"/>
      <c r="AP1" s="129"/>
      <c r="AQ1" s="129"/>
      <c r="AR1" s="127"/>
      <c r="AS1" s="127"/>
    </row>
    <row r="2" spans="1:50" ht="15.75" x14ac:dyDescent="0.25">
      <c r="A2" s="53"/>
      <c r="B2" s="3"/>
      <c r="C2" s="3"/>
      <c r="E2" s="4" t="s">
        <v>257</v>
      </c>
      <c r="M2" s="127"/>
      <c r="N2" s="127"/>
      <c r="O2" s="127"/>
      <c r="P2" s="127"/>
      <c r="Q2" s="127"/>
      <c r="AE2" s="130">
        <f ca="1">NOW()</f>
        <v>43266.404079513886</v>
      </c>
      <c r="AG2" s="127"/>
      <c r="AR2" s="127"/>
      <c r="AS2" s="127"/>
    </row>
    <row r="3" spans="1:50" ht="15.75" x14ac:dyDescent="0.25">
      <c r="A3" s="520" t="str">
        <f>CompDetail!A3</f>
        <v>June 9 to 11 2018</v>
      </c>
      <c r="B3" s="521"/>
      <c r="C3" s="3"/>
      <c r="E3" s="4" t="s">
        <v>259</v>
      </c>
      <c r="F3" s="13"/>
      <c r="G3" s="12"/>
      <c r="H3" s="13"/>
      <c r="I3" s="13"/>
      <c r="J3" s="13"/>
      <c r="K3" s="13"/>
      <c r="M3" s="127"/>
      <c r="N3" s="127"/>
      <c r="O3" s="127"/>
      <c r="P3" s="127"/>
      <c r="Q3" s="127"/>
      <c r="AG3" s="127"/>
      <c r="AR3" s="127"/>
      <c r="AS3" s="127"/>
      <c r="AX3" s="130"/>
    </row>
    <row r="4" spans="1:50" ht="15.75" x14ac:dyDescent="0.25">
      <c r="A4" s="53"/>
      <c r="B4" s="3"/>
      <c r="C4" s="3"/>
      <c r="E4" s="3"/>
      <c r="M4" s="127"/>
      <c r="O4" s="127"/>
      <c r="P4" s="127"/>
      <c r="Q4" s="127"/>
      <c r="AG4" s="127"/>
      <c r="AR4" s="127"/>
      <c r="AS4" s="127"/>
      <c r="AX4" s="130"/>
    </row>
    <row r="5" spans="1:50" ht="15.75" x14ac:dyDescent="0.25">
      <c r="A5" s="52" t="s">
        <v>65</v>
      </c>
      <c r="B5" s="2" t="s">
        <v>260</v>
      </c>
      <c r="G5" s="2" t="s">
        <v>58</v>
      </c>
      <c r="H5" s="4" t="str">
        <f>E1</f>
        <v>R Bruderer</v>
      </c>
      <c r="M5" s="131"/>
      <c r="N5" s="2" t="s">
        <v>57</v>
      </c>
      <c r="O5" s="4" t="str">
        <f>E2</f>
        <v>A Deeks</v>
      </c>
      <c r="P5" s="2"/>
      <c r="Q5" s="2"/>
      <c r="R5" s="2" t="s">
        <v>59</v>
      </c>
      <c r="S5" s="4" t="str">
        <f>E3</f>
        <v>C Wicks</v>
      </c>
      <c r="X5" s="2"/>
      <c r="Y5" s="2"/>
      <c r="AD5" s="2"/>
      <c r="AG5" s="127"/>
      <c r="AR5" s="127"/>
      <c r="AS5" s="127"/>
    </row>
    <row r="6" spans="1:50" ht="15.75" x14ac:dyDescent="0.25">
      <c r="A6" s="52" t="s">
        <v>64</v>
      </c>
      <c r="B6" s="2" t="s">
        <v>238</v>
      </c>
      <c r="M6" s="127"/>
      <c r="Z6" s="148"/>
      <c r="AG6" s="127"/>
      <c r="AR6" s="127"/>
      <c r="AS6" s="127"/>
    </row>
    <row r="7" spans="1:50" ht="15" customHeight="1" x14ac:dyDescent="0.25">
      <c r="G7" s="2" t="s">
        <v>35</v>
      </c>
      <c r="L7" s="129"/>
      <c r="M7" s="133"/>
      <c r="N7" s="134" t="s">
        <v>22</v>
      </c>
      <c r="O7" s="149"/>
      <c r="P7" s="150" t="s">
        <v>68</v>
      </c>
      <c r="Q7" s="136"/>
      <c r="R7" s="87" t="s">
        <v>23</v>
      </c>
      <c r="Y7" s="135" t="s">
        <v>56</v>
      </c>
      <c r="Z7" s="148"/>
      <c r="AA7" s="486"/>
      <c r="AB7" s="486"/>
      <c r="AC7" s="486"/>
      <c r="AD7" s="135" t="s">
        <v>32</v>
      </c>
    </row>
    <row r="8" spans="1:50" s="136" customFormat="1" ht="15" customHeight="1" x14ac:dyDescent="0.25">
      <c r="A8" s="55" t="s">
        <v>33</v>
      </c>
      <c r="B8" s="55" t="s">
        <v>34</v>
      </c>
      <c r="C8" s="83" t="s">
        <v>35</v>
      </c>
      <c r="D8" s="83" t="s">
        <v>36</v>
      </c>
      <c r="E8" s="83" t="s">
        <v>37</v>
      </c>
      <c r="F8" s="137"/>
      <c r="G8" s="138" t="s">
        <v>7</v>
      </c>
      <c r="H8" s="138" t="s">
        <v>8</v>
      </c>
      <c r="I8" s="138" t="s">
        <v>9</v>
      </c>
      <c r="J8" s="138" t="s">
        <v>10</v>
      </c>
      <c r="K8" s="138" t="s">
        <v>11</v>
      </c>
      <c r="L8" s="139" t="s">
        <v>35</v>
      </c>
      <c r="M8" s="142"/>
      <c r="N8" s="79" t="s">
        <v>45</v>
      </c>
      <c r="O8" s="79" t="s">
        <v>80</v>
      </c>
      <c r="P8" s="85" t="s">
        <v>24</v>
      </c>
      <c r="Q8" s="137"/>
      <c r="R8" s="139" t="s">
        <v>12</v>
      </c>
      <c r="S8" s="138" t="s">
        <v>13</v>
      </c>
      <c r="T8" s="138" t="s">
        <v>14</v>
      </c>
      <c r="U8" s="138" t="s">
        <v>15</v>
      </c>
      <c r="V8" s="138" t="s">
        <v>16</v>
      </c>
      <c r="W8" s="138" t="s">
        <v>42</v>
      </c>
      <c r="X8" s="83" t="s">
        <v>19</v>
      </c>
      <c r="Y8" s="140" t="s">
        <v>24</v>
      </c>
      <c r="Z8" s="151"/>
      <c r="AA8" s="239"/>
      <c r="AB8" s="239"/>
      <c r="AC8" s="239"/>
      <c r="AD8" s="140" t="s">
        <v>43</v>
      </c>
      <c r="AE8" s="83" t="s">
        <v>44</v>
      </c>
    </row>
    <row r="9" spans="1:50" s="136" customFormat="1" ht="15" customHeight="1" x14ac:dyDescent="0.25">
      <c r="A9" s="29"/>
      <c r="B9" s="29"/>
      <c r="C9" s="55"/>
      <c r="D9" s="55"/>
      <c r="E9" s="55"/>
      <c r="F9" s="141"/>
      <c r="G9" s="56"/>
      <c r="H9" s="56"/>
      <c r="I9" s="56"/>
      <c r="J9" s="56"/>
      <c r="K9" s="56"/>
      <c r="L9" s="66"/>
      <c r="M9" s="142"/>
      <c r="N9" s="29"/>
      <c r="O9" s="29"/>
      <c r="P9" s="29"/>
      <c r="Q9" s="141"/>
      <c r="R9" s="66"/>
      <c r="S9" s="56"/>
      <c r="T9" s="56"/>
      <c r="U9" s="56"/>
      <c r="V9" s="56"/>
      <c r="W9" s="56"/>
      <c r="X9" s="55"/>
      <c r="Y9" s="55"/>
      <c r="Z9" s="151"/>
      <c r="AA9" s="486" t="s">
        <v>101</v>
      </c>
      <c r="AB9" s="486" t="s">
        <v>102</v>
      </c>
      <c r="AC9" s="486" t="s">
        <v>103</v>
      </c>
      <c r="AD9" s="87"/>
      <c r="AE9" s="55"/>
    </row>
    <row r="10" spans="1:50" ht="15.75" x14ac:dyDescent="0.25">
      <c r="A10" s="293">
        <v>103</v>
      </c>
      <c r="B10" s="293" t="s">
        <v>164</v>
      </c>
      <c r="C10" s="317"/>
      <c r="D10" s="317"/>
      <c r="E10" s="317"/>
      <c r="F10" s="143"/>
      <c r="G10" s="143"/>
      <c r="H10" s="143"/>
      <c r="I10" s="143"/>
      <c r="J10" s="143"/>
      <c r="K10" s="143"/>
      <c r="L10" s="145"/>
      <c r="M10" s="145"/>
      <c r="N10" s="37"/>
      <c r="O10" s="37"/>
      <c r="P10" s="37"/>
      <c r="Q10" s="144"/>
      <c r="R10" s="143"/>
      <c r="S10" s="143"/>
      <c r="T10" s="143"/>
      <c r="U10" s="143"/>
      <c r="V10" s="143"/>
      <c r="W10" s="143"/>
      <c r="X10" s="143"/>
      <c r="Y10" s="143"/>
      <c r="Z10" s="132"/>
      <c r="AA10" s="237"/>
      <c r="AB10" s="238"/>
      <c r="AC10" s="238"/>
      <c r="AD10" s="154"/>
      <c r="AE10" s="143"/>
    </row>
    <row r="11" spans="1:50" ht="15.75" x14ac:dyDescent="0.25">
      <c r="A11" s="296">
        <v>104</v>
      </c>
      <c r="B11" s="296" t="s">
        <v>166</v>
      </c>
      <c r="C11" s="318" t="s">
        <v>168</v>
      </c>
      <c r="D11" s="318" t="s">
        <v>169</v>
      </c>
      <c r="E11" s="318" t="s">
        <v>141</v>
      </c>
      <c r="F11" s="143"/>
      <c r="G11" s="508">
        <v>6.4</v>
      </c>
      <c r="H11" s="508">
        <v>6</v>
      </c>
      <c r="I11" s="508">
        <v>6</v>
      </c>
      <c r="J11" s="508">
        <v>6.3</v>
      </c>
      <c r="K11" s="508">
        <v>7.3</v>
      </c>
      <c r="L11" s="69">
        <f t="shared" ref="L11" si="0">SUM((G11*0.1),(H11*0.1),(I11*0.3),(J11*0.3),(K11*0.2))</f>
        <v>6.39</v>
      </c>
      <c r="M11" s="145"/>
      <c r="N11" s="40">
        <v>7.5</v>
      </c>
      <c r="O11" s="41">
        <v>0</v>
      </c>
      <c r="P11" s="43">
        <f t="shared" ref="P11" si="1">N11-O11</f>
        <v>7.5</v>
      </c>
      <c r="Q11" s="146"/>
      <c r="R11" s="60">
        <v>6.5</v>
      </c>
      <c r="S11" s="60">
        <v>7</v>
      </c>
      <c r="T11" s="60">
        <v>6</v>
      </c>
      <c r="U11" s="60">
        <v>6.5</v>
      </c>
      <c r="V11" s="60">
        <v>6.5</v>
      </c>
      <c r="W11" s="69">
        <f t="shared" ref="W11" si="2">SUM((R11*0.25),(S11*0.25),(T11*0.2),(U11*0.2),(V11*0.1))</f>
        <v>6.5250000000000004</v>
      </c>
      <c r="X11" s="60">
        <v>0</v>
      </c>
      <c r="Y11" s="69">
        <f t="shared" ref="Y11" si="3">W11-X11</f>
        <v>6.5250000000000004</v>
      </c>
      <c r="Z11" s="152"/>
      <c r="AA11" s="236">
        <f t="shared" ref="AA11" si="4">L11</f>
        <v>6.39</v>
      </c>
      <c r="AB11" s="236">
        <f t="shared" ref="AB11" si="5">P11</f>
        <v>7.5</v>
      </c>
      <c r="AC11" s="236">
        <f t="shared" ref="AC11" si="6">Y11</f>
        <v>6.5250000000000004</v>
      </c>
      <c r="AD11" s="147">
        <f t="shared" ref="AD11" si="7">SUM((L11*0.25)+(P11*0.5)+(Y11*0.25))</f>
        <v>6.9787499999999998</v>
      </c>
      <c r="AE11" s="4">
        <v>1</v>
      </c>
    </row>
    <row r="12" spans="1:50" ht="15.75" x14ac:dyDescent="0.25">
      <c r="A12" s="293">
        <v>129</v>
      </c>
      <c r="B12" s="293" t="s">
        <v>195</v>
      </c>
      <c r="C12" s="317"/>
      <c r="D12" s="317"/>
      <c r="E12" s="450" t="s">
        <v>209</v>
      </c>
      <c r="F12" s="143"/>
      <c r="G12" s="144"/>
      <c r="H12" s="144"/>
      <c r="I12" s="144"/>
      <c r="J12" s="144"/>
      <c r="K12" s="144"/>
      <c r="L12" s="145"/>
      <c r="M12" s="145"/>
      <c r="N12" s="37"/>
      <c r="O12" s="37"/>
      <c r="P12" s="37"/>
      <c r="Q12" s="144"/>
      <c r="R12" s="143"/>
      <c r="S12" s="143"/>
      <c r="T12" s="143"/>
      <c r="U12" s="143"/>
      <c r="V12" s="143"/>
      <c r="W12" s="143"/>
      <c r="X12" s="143"/>
      <c r="Y12" s="154"/>
      <c r="Z12" s="132"/>
      <c r="AA12" s="237"/>
      <c r="AB12" s="238"/>
      <c r="AC12" s="238"/>
      <c r="AD12" s="154"/>
      <c r="AE12" s="143"/>
    </row>
    <row r="13" spans="1:50" ht="15.75" x14ac:dyDescent="0.25">
      <c r="A13" s="296">
        <v>160</v>
      </c>
      <c r="B13" s="296" t="s">
        <v>171</v>
      </c>
      <c r="C13" s="318" t="s">
        <v>107</v>
      </c>
      <c r="D13" s="318" t="s">
        <v>108</v>
      </c>
      <c r="E13" s="451" t="s">
        <v>270</v>
      </c>
      <c r="F13" s="143"/>
      <c r="G13" s="508">
        <v>6</v>
      </c>
      <c r="H13" s="508">
        <v>5</v>
      </c>
      <c r="I13" s="508">
        <v>5.7</v>
      </c>
      <c r="J13" s="508">
        <v>6</v>
      </c>
      <c r="K13" s="508">
        <v>7</v>
      </c>
      <c r="L13" s="69">
        <f t="shared" ref="L13" si="8">SUM((G13*0.1),(H13*0.1),(I13*0.3),(J13*0.3),(K13*0.2))</f>
        <v>6.01</v>
      </c>
      <c r="M13" s="145"/>
      <c r="N13" s="40">
        <v>7.9</v>
      </c>
      <c r="O13" s="41">
        <v>0</v>
      </c>
      <c r="P13" s="43">
        <f t="shared" ref="P13" si="9">N13-O13</f>
        <v>7.9</v>
      </c>
      <c r="Q13" s="146"/>
      <c r="R13" s="60">
        <v>4.5</v>
      </c>
      <c r="S13" s="60">
        <v>7</v>
      </c>
      <c r="T13" s="60">
        <v>5</v>
      </c>
      <c r="U13" s="60">
        <v>5.8</v>
      </c>
      <c r="V13" s="60">
        <v>6</v>
      </c>
      <c r="W13" s="69">
        <f t="shared" ref="W13" si="10">SUM((R13*0.25),(S13*0.25),(T13*0.2),(U13*0.2),(V13*0.1))</f>
        <v>5.6349999999999998</v>
      </c>
      <c r="X13" s="60">
        <v>0</v>
      </c>
      <c r="Y13" s="69">
        <f t="shared" ref="Y13" si="11">W13-X13</f>
        <v>5.6349999999999998</v>
      </c>
      <c r="Z13" s="152"/>
      <c r="AA13" s="236">
        <f t="shared" ref="AA13" si="12">L13</f>
        <v>6.01</v>
      </c>
      <c r="AB13" s="236">
        <f t="shared" ref="AB13" si="13">P13</f>
        <v>7.9</v>
      </c>
      <c r="AC13" s="236">
        <f t="shared" ref="AC13" si="14">Y13</f>
        <v>5.6349999999999998</v>
      </c>
      <c r="AD13" s="147">
        <f t="shared" ref="AD13" si="15">SUM((L13*0.25)+(P13*0.5)+(Y13*0.25))</f>
        <v>6.8612500000000001</v>
      </c>
      <c r="AE13" s="4">
        <v>2</v>
      </c>
    </row>
    <row r="14" spans="1:50" ht="15.75" x14ac:dyDescent="0.25">
      <c r="A14" s="293">
        <v>123</v>
      </c>
      <c r="B14" s="293" t="s">
        <v>205</v>
      </c>
      <c r="C14" s="317"/>
      <c r="D14" s="317"/>
      <c r="E14" s="317"/>
      <c r="F14" s="143"/>
      <c r="G14" s="144"/>
      <c r="H14" s="144"/>
      <c r="I14" s="144"/>
      <c r="J14" s="144"/>
      <c r="K14" s="144"/>
      <c r="L14" s="145"/>
      <c r="M14" s="145"/>
      <c r="N14" s="37"/>
      <c r="O14" s="37"/>
      <c r="P14" s="37"/>
      <c r="Q14" s="144"/>
      <c r="R14" s="143"/>
      <c r="S14" s="143"/>
      <c r="T14" s="143"/>
      <c r="U14" s="143"/>
      <c r="V14" s="143"/>
      <c r="W14" s="143"/>
      <c r="X14" s="143"/>
      <c r="Y14" s="154"/>
      <c r="Z14" s="132"/>
      <c r="AA14" s="237"/>
      <c r="AB14" s="238"/>
      <c r="AC14" s="238"/>
      <c r="AD14" s="154"/>
      <c r="AE14" s="143"/>
    </row>
    <row r="15" spans="1:50" ht="15.75" x14ac:dyDescent="0.25">
      <c r="A15" s="296">
        <v>126</v>
      </c>
      <c r="B15" s="296" t="s">
        <v>122</v>
      </c>
      <c r="C15" s="318" t="s">
        <v>118</v>
      </c>
      <c r="D15" s="318" t="s">
        <v>188</v>
      </c>
      <c r="E15" s="318" t="s">
        <v>120</v>
      </c>
      <c r="F15" s="143"/>
      <c r="G15" s="508">
        <v>6.8</v>
      </c>
      <c r="H15" s="508">
        <v>6.3</v>
      </c>
      <c r="I15" s="508">
        <v>6.8</v>
      </c>
      <c r="J15" s="508">
        <v>7.8</v>
      </c>
      <c r="K15" s="508">
        <v>7.5</v>
      </c>
      <c r="L15" s="69">
        <f t="shared" ref="L15" si="16">SUM((G15*0.1),(H15*0.1),(I15*0.3),(J15*0.3),(K15*0.2))</f>
        <v>7.1899999999999995</v>
      </c>
      <c r="M15" s="145"/>
      <c r="N15" s="40">
        <v>6.8</v>
      </c>
      <c r="O15" s="41">
        <v>0</v>
      </c>
      <c r="P15" s="43">
        <f t="shared" ref="P15" si="17">N15-O15</f>
        <v>6.8</v>
      </c>
      <c r="Q15" s="146"/>
      <c r="R15" s="60">
        <v>5.5</v>
      </c>
      <c r="S15" s="60">
        <v>6</v>
      </c>
      <c r="T15" s="60">
        <v>5</v>
      </c>
      <c r="U15" s="60">
        <v>7</v>
      </c>
      <c r="V15" s="60">
        <v>7</v>
      </c>
      <c r="W15" s="69">
        <f t="shared" ref="W15" si="18">SUM((R15*0.25),(S15*0.25),(T15*0.2),(U15*0.2),(V15*0.1))</f>
        <v>5.9750000000000005</v>
      </c>
      <c r="X15" s="60">
        <v>0</v>
      </c>
      <c r="Y15" s="69">
        <f t="shared" ref="Y15" si="19">W15-X15</f>
        <v>5.9750000000000005</v>
      </c>
      <c r="Z15" s="152"/>
      <c r="AA15" s="236">
        <f t="shared" ref="AA15" si="20">L15</f>
        <v>7.1899999999999995</v>
      </c>
      <c r="AB15" s="236">
        <f t="shared" ref="AB15" si="21">P15</f>
        <v>6.8</v>
      </c>
      <c r="AC15" s="236">
        <f t="shared" ref="AC15" si="22">Y15</f>
        <v>5.9750000000000005</v>
      </c>
      <c r="AD15" s="147">
        <f t="shared" ref="AD15" si="23">SUM((L15*0.25)+(P15*0.5)+(Y15*0.25))</f>
        <v>6.6912500000000001</v>
      </c>
      <c r="AE15" s="4">
        <v>3</v>
      </c>
    </row>
    <row r="16" spans="1:50" ht="15.75" x14ac:dyDescent="0.25">
      <c r="A16" s="293">
        <v>153</v>
      </c>
      <c r="B16" s="293" t="s">
        <v>159</v>
      </c>
      <c r="C16" s="317"/>
      <c r="D16" s="317"/>
      <c r="E16" s="317"/>
      <c r="F16" s="143"/>
      <c r="G16" s="144"/>
      <c r="H16" s="144"/>
      <c r="I16" s="144"/>
      <c r="J16" s="144"/>
      <c r="K16" s="144"/>
      <c r="L16" s="145"/>
      <c r="M16" s="145"/>
      <c r="N16" s="37"/>
      <c r="O16" s="37"/>
      <c r="P16" s="37"/>
      <c r="Q16" s="144"/>
      <c r="R16" s="143"/>
      <c r="S16" s="143"/>
      <c r="T16" s="143"/>
      <c r="U16" s="143"/>
      <c r="V16" s="143"/>
      <c r="W16" s="143"/>
      <c r="X16" s="143"/>
      <c r="Y16" s="154"/>
      <c r="Z16" s="132"/>
      <c r="AA16" s="237"/>
      <c r="AB16" s="238"/>
      <c r="AC16" s="238"/>
      <c r="AD16" s="154"/>
      <c r="AE16" s="143"/>
    </row>
    <row r="17" spans="1:31" ht="15.75" x14ac:dyDescent="0.25">
      <c r="A17" s="296">
        <v>151</v>
      </c>
      <c r="B17" s="296" t="s">
        <v>160</v>
      </c>
      <c r="C17" s="318" t="s">
        <v>107</v>
      </c>
      <c r="D17" s="318" t="s">
        <v>108</v>
      </c>
      <c r="E17" s="318" t="s">
        <v>109</v>
      </c>
      <c r="F17" s="143"/>
      <c r="G17" s="508">
        <v>5.5</v>
      </c>
      <c r="H17" s="508">
        <v>5</v>
      </c>
      <c r="I17" s="508">
        <v>6</v>
      </c>
      <c r="J17" s="508">
        <v>6</v>
      </c>
      <c r="K17" s="508">
        <v>6.3</v>
      </c>
      <c r="L17" s="69">
        <f t="shared" ref="L17" si="24">SUM((G17*0.1),(H17*0.1),(I17*0.3),(J17*0.3),(K17*0.2))</f>
        <v>5.9099999999999993</v>
      </c>
      <c r="M17" s="145"/>
      <c r="N17" s="40">
        <v>7.4</v>
      </c>
      <c r="O17" s="41">
        <v>0</v>
      </c>
      <c r="P17" s="43">
        <f t="shared" ref="P17" si="25">N17-O17</f>
        <v>7.4</v>
      </c>
      <c r="Q17" s="146"/>
      <c r="R17" s="60">
        <v>5.5</v>
      </c>
      <c r="S17" s="60">
        <v>7</v>
      </c>
      <c r="T17" s="60">
        <v>5</v>
      </c>
      <c r="U17" s="60">
        <v>5.5</v>
      </c>
      <c r="V17" s="60">
        <v>5</v>
      </c>
      <c r="W17" s="69">
        <f t="shared" ref="W17" si="26">SUM((R17*0.25),(S17*0.25),(T17*0.2),(U17*0.2),(V17*0.1))</f>
        <v>5.7249999999999996</v>
      </c>
      <c r="X17" s="60">
        <v>0</v>
      </c>
      <c r="Y17" s="69">
        <f t="shared" ref="Y17" si="27">W17-X17</f>
        <v>5.7249999999999996</v>
      </c>
      <c r="Z17" s="152"/>
      <c r="AA17" s="236">
        <f t="shared" ref="AA17" si="28">L17</f>
        <v>5.9099999999999993</v>
      </c>
      <c r="AB17" s="236">
        <f t="shared" ref="AB17" si="29">P17</f>
        <v>7.4</v>
      </c>
      <c r="AC17" s="236">
        <f t="shared" ref="AC17" si="30">Y17</f>
        <v>5.7249999999999996</v>
      </c>
      <c r="AD17" s="147">
        <f t="shared" ref="AD17" si="31">SUM((L17*0.25)+(P17*0.5)+(Y17*0.25))</f>
        <v>6.6087500000000006</v>
      </c>
      <c r="AE17" s="4">
        <v>4</v>
      </c>
    </row>
    <row r="18" spans="1:31" ht="15.75" x14ac:dyDescent="0.25">
      <c r="A18" s="293">
        <v>155</v>
      </c>
      <c r="B18" s="293" t="s">
        <v>106</v>
      </c>
      <c r="C18" s="317"/>
      <c r="D18" s="317"/>
      <c r="E18" s="317"/>
      <c r="F18" s="143"/>
      <c r="G18" s="144"/>
      <c r="H18" s="144"/>
      <c r="I18" s="144"/>
      <c r="J18" s="144"/>
      <c r="K18" s="144"/>
      <c r="L18" s="145"/>
      <c r="M18" s="145"/>
      <c r="N18" s="37"/>
      <c r="O18" s="37"/>
      <c r="P18" s="37"/>
      <c r="Q18" s="144"/>
      <c r="R18" s="143"/>
      <c r="S18" s="143"/>
      <c r="T18" s="143"/>
      <c r="U18" s="143"/>
      <c r="V18" s="143"/>
      <c r="W18" s="143"/>
      <c r="X18" s="143"/>
      <c r="Y18" s="154"/>
      <c r="Z18" s="132"/>
      <c r="AA18" s="237"/>
      <c r="AB18" s="238"/>
      <c r="AC18" s="238"/>
      <c r="AD18" s="154"/>
      <c r="AE18" s="143"/>
    </row>
    <row r="19" spans="1:31" ht="15.75" x14ac:dyDescent="0.25">
      <c r="A19" s="296">
        <v>156</v>
      </c>
      <c r="B19" s="296" t="s">
        <v>110</v>
      </c>
      <c r="C19" s="318" t="s">
        <v>107</v>
      </c>
      <c r="D19" s="318" t="s">
        <v>108</v>
      </c>
      <c r="E19" s="318" t="s">
        <v>109</v>
      </c>
      <c r="F19" s="143"/>
      <c r="G19" s="508">
        <v>6</v>
      </c>
      <c r="H19" s="508">
        <v>5</v>
      </c>
      <c r="I19" s="508">
        <v>5.7</v>
      </c>
      <c r="J19" s="508">
        <v>6</v>
      </c>
      <c r="K19" s="508">
        <v>7</v>
      </c>
      <c r="L19" s="69">
        <f t="shared" ref="L19" si="32">SUM((G19*0.1),(H19*0.1),(I19*0.3),(J19*0.3),(K19*0.2))</f>
        <v>6.01</v>
      </c>
      <c r="M19" s="145"/>
      <c r="N19" s="40">
        <v>7.3</v>
      </c>
      <c r="O19" s="41">
        <v>0</v>
      </c>
      <c r="P19" s="43">
        <f t="shared" ref="P19" si="33">N19-O19</f>
        <v>7.3</v>
      </c>
      <c r="Q19" s="146"/>
      <c r="R19" s="60">
        <v>5.5</v>
      </c>
      <c r="S19" s="60">
        <v>6</v>
      </c>
      <c r="T19" s="60">
        <v>5.5</v>
      </c>
      <c r="U19" s="60">
        <v>5</v>
      </c>
      <c r="V19" s="60">
        <v>5</v>
      </c>
      <c r="W19" s="69">
        <f t="shared" ref="W19" si="34">SUM((R19*0.25),(S19*0.25),(T19*0.2),(U19*0.2),(V19*0.1))</f>
        <v>5.4749999999999996</v>
      </c>
      <c r="X19" s="60">
        <v>0</v>
      </c>
      <c r="Y19" s="69">
        <f t="shared" ref="Y19" si="35">W19-X19</f>
        <v>5.4749999999999996</v>
      </c>
      <c r="Z19" s="152"/>
      <c r="AA19" s="236">
        <f t="shared" ref="AA19" si="36">L19</f>
        <v>6.01</v>
      </c>
      <c r="AB19" s="236">
        <f t="shared" ref="AB19" si="37">P19</f>
        <v>7.3</v>
      </c>
      <c r="AC19" s="236">
        <f t="shared" ref="AC19" si="38">Y19</f>
        <v>5.4749999999999996</v>
      </c>
      <c r="AD19" s="147">
        <f t="shared" ref="AD19" si="39">SUM((L19*0.25)+(P19*0.5)+(Y19*0.25))</f>
        <v>6.5212500000000002</v>
      </c>
      <c r="AE19" s="4">
        <v>5</v>
      </c>
    </row>
    <row r="20" spans="1:31" ht="15.75" x14ac:dyDescent="0.25">
      <c r="A20" s="293">
        <v>157</v>
      </c>
      <c r="B20" s="293" t="s">
        <v>112</v>
      </c>
      <c r="C20" s="317"/>
      <c r="D20" s="317"/>
      <c r="E20" s="317"/>
      <c r="F20" s="143"/>
      <c r="G20" s="144"/>
      <c r="H20" s="144"/>
      <c r="I20" s="144"/>
      <c r="J20" s="144"/>
      <c r="K20" s="144"/>
      <c r="L20" s="145"/>
      <c r="M20" s="145"/>
      <c r="N20" s="37"/>
      <c r="O20" s="37"/>
      <c r="P20" s="37"/>
      <c r="Q20" s="144"/>
      <c r="R20" s="143"/>
      <c r="S20" s="143"/>
      <c r="T20" s="143"/>
      <c r="U20" s="143"/>
      <c r="V20" s="143"/>
      <c r="W20" s="143"/>
      <c r="X20" s="143"/>
      <c r="Y20" s="154"/>
      <c r="Z20" s="132"/>
      <c r="AA20" s="237"/>
      <c r="AB20" s="238"/>
      <c r="AC20" s="238"/>
      <c r="AD20" s="154"/>
      <c r="AE20" s="143"/>
    </row>
    <row r="21" spans="1:31" ht="15.75" x14ac:dyDescent="0.25">
      <c r="A21" s="296">
        <v>154</v>
      </c>
      <c r="B21" s="296" t="s">
        <v>111</v>
      </c>
      <c r="C21" s="318" t="s">
        <v>107</v>
      </c>
      <c r="D21" s="318" t="s">
        <v>108</v>
      </c>
      <c r="E21" s="318" t="s">
        <v>109</v>
      </c>
      <c r="F21" s="143"/>
      <c r="G21" s="508">
        <v>5.5</v>
      </c>
      <c r="H21" s="508">
        <v>5</v>
      </c>
      <c r="I21" s="508">
        <v>6</v>
      </c>
      <c r="J21" s="508">
        <v>6</v>
      </c>
      <c r="K21" s="508">
        <v>6.3</v>
      </c>
      <c r="L21" s="69">
        <f t="shared" ref="L21" si="40">SUM((G21*0.1),(H21*0.1),(I21*0.3),(J21*0.3),(K21*0.2))</f>
        <v>5.9099999999999993</v>
      </c>
      <c r="M21" s="145"/>
      <c r="N21" s="40">
        <v>7.1</v>
      </c>
      <c r="O21" s="41">
        <v>0</v>
      </c>
      <c r="P21" s="43">
        <f t="shared" ref="P21" si="41">N21-O21</f>
        <v>7.1</v>
      </c>
      <c r="Q21" s="146"/>
      <c r="R21" s="60">
        <v>6</v>
      </c>
      <c r="S21" s="60">
        <v>6</v>
      </c>
      <c r="T21" s="60">
        <v>5.5</v>
      </c>
      <c r="U21" s="60">
        <v>5</v>
      </c>
      <c r="V21" s="60">
        <v>5</v>
      </c>
      <c r="W21" s="69">
        <f t="shared" ref="W21" si="42">SUM((R21*0.25),(S21*0.25),(T21*0.2),(U21*0.2),(V21*0.1))</f>
        <v>5.6</v>
      </c>
      <c r="X21" s="60">
        <v>0</v>
      </c>
      <c r="Y21" s="69">
        <f t="shared" ref="Y21" si="43">W21-X21</f>
        <v>5.6</v>
      </c>
      <c r="Z21" s="152"/>
      <c r="AA21" s="236">
        <f t="shared" ref="AA21" si="44">L21</f>
        <v>5.9099999999999993</v>
      </c>
      <c r="AB21" s="236">
        <f t="shared" ref="AB21" si="45">P21</f>
        <v>7.1</v>
      </c>
      <c r="AC21" s="236">
        <f t="shared" ref="AC21" si="46">Y21</f>
        <v>5.6</v>
      </c>
      <c r="AD21" s="147">
        <f t="shared" ref="AD21" si="47">SUM((L21*0.25)+(P21*0.5)+(Y21*0.25))</f>
        <v>6.4275000000000002</v>
      </c>
      <c r="AE21" s="4">
        <v>6</v>
      </c>
    </row>
    <row r="22" spans="1:31" ht="15.75" x14ac:dyDescent="0.25">
      <c r="A22" s="293">
        <v>100</v>
      </c>
      <c r="B22" s="293" t="s">
        <v>163</v>
      </c>
      <c r="C22" s="317"/>
      <c r="D22" s="317"/>
      <c r="E22" s="317"/>
      <c r="F22" s="143"/>
      <c r="G22" s="144"/>
      <c r="H22" s="144"/>
      <c r="I22" s="144"/>
      <c r="J22" s="144"/>
      <c r="K22" s="144"/>
      <c r="L22" s="145"/>
      <c r="M22" s="145"/>
      <c r="N22" s="37"/>
      <c r="O22" s="37"/>
      <c r="P22" s="37"/>
      <c r="Q22" s="144"/>
      <c r="R22" s="143"/>
      <c r="S22" s="143"/>
      <c r="T22" s="143"/>
      <c r="U22" s="143"/>
      <c r="V22" s="143"/>
      <c r="W22" s="143"/>
      <c r="X22" s="143"/>
      <c r="Y22" s="154"/>
      <c r="Z22" s="132"/>
      <c r="AA22" s="237"/>
      <c r="AB22" s="238"/>
      <c r="AC22" s="238"/>
      <c r="AD22" s="154"/>
      <c r="AE22" s="143"/>
    </row>
    <row r="23" spans="1:31" ht="15.75" x14ac:dyDescent="0.25">
      <c r="A23" s="296">
        <v>98</v>
      </c>
      <c r="B23" s="296" t="s">
        <v>165</v>
      </c>
      <c r="C23" s="318" t="s">
        <v>168</v>
      </c>
      <c r="D23" s="318" t="s">
        <v>169</v>
      </c>
      <c r="E23" s="318" t="s">
        <v>141</v>
      </c>
      <c r="F23" s="143"/>
      <c r="G23" s="508">
        <v>6.3</v>
      </c>
      <c r="H23" s="508">
        <v>6</v>
      </c>
      <c r="I23" s="508">
        <v>6</v>
      </c>
      <c r="J23" s="508">
        <v>6.3</v>
      </c>
      <c r="K23" s="508">
        <v>7.3</v>
      </c>
      <c r="L23" s="69">
        <f t="shared" ref="L23" si="48">SUM((G23*0.1),(H23*0.1),(I23*0.3),(J23*0.3),(K23*0.2))</f>
        <v>6.38</v>
      </c>
      <c r="M23" s="145"/>
      <c r="N23" s="40">
        <v>6.7</v>
      </c>
      <c r="O23" s="41">
        <v>0</v>
      </c>
      <c r="P23" s="43">
        <f t="shared" ref="P23" si="49">N23-O23</f>
        <v>6.7</v>
      </c>
      <c r="Q23" s="146"/>
      <c r="R23" s="60">
        <v>5.5</v>
      </c>
      <c r="S23" s="60">
        <v>6.5</v>
      </c>
      <c r="T23" s="60">
        <v>5</v>
      </c>
      <c r="U23" s="60">
        <v>5</v>
      </c>
      <c r="V23" s="60">
        <v>5.5</v>
      </c>
      <c r="W23" s="69">
        <f t="shared" ref="W23" si="50">SUM((R23*0.25),(S23*0.25),(T23*0.2),(U23*0.2),(V23*0.1))</f>
        <v>5.55</v>
      </c>
      <c r="X23" s="60">
        <v>0</v>
      </c>
      <c r="Y23" s="69">
        <f t="shared" ref="Y23" si="51">W23-X23</f>
        <v>5.55</v>
      </c>
      <c r="Z23" s="152"/>
      <c r="AA23" s="236">
        <f t="shared" ref="AA23" si="52">L23</f>
        <v>6.38</v>
      </c>
      <c r="AB23" s="236">
        <f t="shared" ref="AB23" si="53">P23</f>
        <v>6.7</v>
      </c>
      <c r="AC23" s="236">
        <f t="shared" ref="AC23" si="54">Y23</f>
        <v>5.55</v>
      </c>
      <c r="AD23" s="147">
        <f t="shared" ref="AD23" si="55">SUM((L23*0.25)+(P23*0.5)+(Y23*0.25))</f>
        <v>6.3325000000000005</v>
      </c>
    </row>
    <row r="24" spans="1:31" x14ac:dyDescent="0.25">
      <c r="A24" s="39"/>
      <c r="B24" s="39"/>
      <c r="D24" s="315"/>
      <c r="E24" s="39"/>
    </row>
    <row r="25" spans="1:31" x14ac:dyDescent="0.25">
      <c r="A25" s="39"/>
      <c r="B25" s="39"/>
      <c r="D25" s="39"/>
      <c r="E25" s="39"/>
    </row>
    <row r="26" spans="1:31" x14ac:dyDescent="0.25">
      <c r="D26" s="39"/>
      <c r="E26" s="39"/>
    </row>
    <row r="27" spans="1:31" x14ac:dyDescent="0.25">
      <c r="D27" s="39"/>
      <c r="E27" s="39"/>
    </row>
    <row r="28" spans="1:31" x14ac:dyDescent="0.25">
      <c r="D28" s="39"/>
      <c r="E28" s="39"/>
    </row>
    <row r="29" spans="1:31" x14ac:dyDescent="0.25">
      <c r="D29" s="39"/>
      <c r="E29" s="39"/>
    </row>
    <row r="30" spans="1:31" x14ac:dyDescent="0.25">
      <c r="D30" s="39"/>
      <c r="E30" s="39"/>
    </row>
    <row r="31" spans="1:31" x14ac:dyDescent="0.25">
      <c r="D31" s="39"/>
      <c r="E31" s="39"/>
    </row>
    <row r="32" spans="1:31" x14ac:dyDescent="0.25">
      <c r="D32" s="39"/>
      <c r="E32" s="39"/>
    </row>
    <row r="33" spans="4:5" x14ac:dyDescent="0.25">
      <c r="D33" s="39"/>
      <c r="E33" s="39"/>
    </row>
    <row r="34" spans="4:5" x14ac:dyDescent="0.25">
      <c r="D34" s="39"/>
      <c r="E34" s="39"/>
    </row>
    <row r="35" spans="4:5" x14ac:dyDescent="0.25">
      <c r="D35" s="39"/>
      <c r="E35" s="39"/>
    </row>
    <row r="36" spans="4:5" x14ac:dyDescent="0.25">
      <c r="D36" s="39"/>
      <c r="E36" s="39"/>
    </row>
    <row r="37" spans="4:5" x14ac:dyDescent="0.25">
      <c r="D37" s="39"/>
      <c r="E37" s="39"/>
    </row>
    <row r="38" spans="4:5" x14ac:dyDescent="0.25">
      <c r="D38" s="39"/>
      <c r="E38" s="39"/>
    </row>
    <row r="39" spans="4:5" x14ac:dyDescent="0.25">
      <c r="D39" s="39"/>
      <c r="E39" s="39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0D0E-8E9B-47F7-9074-1EEC224DCD81}">
  <sheetPr>
    <pageSetUpPr fitToPage="1"/>
  </sheetPr>
  <dimension ref="A1:AP128"/>
  <sheetViews>
    <sheetView topLeftCell="A7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A10" sqref="A10"/>
    </sheetView>
  </sheetViews>
  <sheetFormatPr defaultColWidth="8.85546875" defaultRowHeight="12.75" x14ac:dyDescent="0.2"/>
  <cols>
    <col min="1" max="1" width="5.42578125" customWidth="1"/>
    <col min="2" max="2" width="21.28515625" customWidth="1"/>
    <col min="3" max="3" width="21.42578125" customWidth="1"/>
    <col min="4" max="4" width="22.85546875" customWidth="1"/>
    <col min="5" max="5" width="14.85546875" customWidth="1"/>
    <col min="6" max="6" width="3.5703125" customWidth="1"/>
    <col min="7" max="11" width="7.7109375" customWidth="1"/>
    <col min="12" max="12" width="7.42578125" customWidth="1"/>
    <col min="13" max="13" width="3.28515625" customWidth="1"/>
    <col min="14" max="22" width="7.7109375" customWidth="1"/>
    <col min="23" max="23" width="3.140625" customWidth="1"/>
    <col min="24" max="32" width="7.7109375" customWidth="1"/>
    <col min="33" max="33" width="3.140625" customWidth="1"/>
    <col min="34" max="34" width="8.140625" style="231" customWidth="1"/>
    <col min="35" max="35" width="7.5703125" style="231" customWidth="1"/>
    <col min="36" max="36" width="6.140625" style="231" customWidth="1"/>
    <col min="37" max="37" width="3.42578125" style="231" customWidth="1"/>
    <col min="38" max="38" width="13.85546875" style="231" customWidth="1"/>
    <col min="39" max="39" width="3" customWidth="1"/>
  </cols>
  <sheetData>
    <row r="1" spans="1:42" s="244" customFormat="1" ht="15.75" x14ac:dyDescent="0.25">
      <c r="A1" s="52" t="str">
        <f>CompDetail!A1</f>
        <v>NSW State Championships</v>
      </c>
      <c r="B1" s="3"/>
      <c r="C1" s="418" t="s">
        <v>144</v>
      </c>
      <c r="D1" s="523" t="s">
        <v>257</v>
      </c>
      <c r="E1" s="523"/>
      <c r="F1" s="523"/>
      <c r="G1" s="523" t="s">
        <v>257</v>
      </c>
      <c r="H1" s="523"/>
      <c r="I1" s="523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264"/>
      <c r="AI1" s="264"/>
      <c r="AJ1" s="264"/>
      <c r="AK1" s="264"/>
      <c r="AL1" s="494"/>
      <c r="AM1" s="494"/>
      <c r="AN1" s="494"/>
      <c r="AO1" s="494"/>
      <c r="AP1" s="494"/>
    </row>
    <row r="2" spans="1:42" s="244" customFormat="1" ht="15.75" x14ac:dyDescent="0.25">
      <c r="A2" s="53"/>
      <c r="B2" s="3"/>
      <c r="C2" s="162"/>
      <c r="D2" s="523" t="s">
        <v>258</v>
      </c>
      <c r="E2" s="523"/>
      <c r="F2" s="523"/>
      <c r="G2" s="523" t="s">
        <v>258</v>
      </c>
      <c r="H2" s="523"/>
      <c r="I2" s="523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245"/>
      <c r="Z2" s="494"/>
      <c r="AA2" s="494"/>
      <c r="AB2" s="494"/>
      <c r="AC2" s="494"/>
      <c r="AD2" s="494"/>
      <c r="AE2" s="494"/>
      <c r="AF2" s="494"/>
      <c r="AG2" s="494"/>
      <c r="AH2" s="264"/>
      <c r="AI2" s="264"/>
      <c r="AJ2" s="264"/>
      <c r="AK2" s="264"/>
      <c r="AL2" s="494"/>
      <c r="AM2" s="494"/>
      <c r="AN2" s="494"/>
      <c r="AO2" s="494"/>
      <c r="AP2" s="494"/>
    </row>
    <row r="3" spans="1:42" s="244" customFormat="1" ht="15.75" x14ac:dyDescent="0.25">
      <c r="A3" s="520" t="str">
        <f>CompDetail!A3</f>
        <v>June 9 to 11 2018</v>
      </c>
      <c r="B3" s="521"/>
      <c r="C3" s="487"/>
      <c r="D3" s="523" t="s">
        <v>256</v>
      </c>
      <c r="E3" s="523"/>
      <c r="F3" s="523"/>
      <c r="G3" s="523" t="s">
        <v>256</v>
      </c>
      <c r="H3" s="523"/>
      <c r="I3" s="523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245"/>
      <c r="Z3" s="494"/>
      <c r="AA3" s="494"/>
      <c r="AB3" s="494"/>
      <c r="AC3" s="494"/>
      <c r="AD3" s="494"/>
      <c r="AE3" s="494"/>
      <c r="AF3" s="494"/>
      <c r="AG3" s="494"/>
      <c r="AH3" s="264"/>
      <c r="AI3" s="264"/>
      <c r="AJ3" s="264"/>
      <c r="AK3" s="264"/>
      <c r="AL3" s="494"/>
      <c r="AM3" s="494"/>
      <c r="AN3" s="494"/>
      <c r="AO3" s="494"/>
      <c r="AP3" s="494"/>
    </row>
    <row r="4" spans="1:42" s="244" customFormat="1" ht="15.75" x14ac:dyDescent="0.25">
      <c r="A4" s="246"/>
      <c r="B4" s="247"/>
      <c r="C4" s="248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245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264"/>
      <c r="AI4" s="264"/>
      <c r="AJ4" s="264"/>
      <c r="AK4" s="264"/>
      <c r="AL4" s="494"/>
      <c r="AM4" s="494"/>
      <c r="AN4" s="494"/>
    </row>
    <row r="5" spans="1:42" s="244" customFormat="1" ht="15" x14ac:dyDescent="0.25">
      <c r="C5" s="494"/>
      <c r="D5" s="494"/>
      <c r="E5" s="494"/>
      <c r="F5" s="230"/>
      <c r="G5" s="249" t="s">
        <v>31</v>
      </c>
      <c r="H5" s="250"/>
      <c r="I5" s="249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30"/>
      <c r="AI5" s="230"/>
      <c r="AJ5" s="230"/>
      <c r="AK5" s="230"/>
      <c r="AL5" s="230"/>
      <c r="AM5" s="494"/>
      <c r="AN5" s="494"/>
    </row>
    <row r="6" spans="1:42" s="244" customFormat="1" ht="15.75" x14ac:dyDescent="0.25">
      <c r="A6" s="493"/>
      <c r="B6" s="252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248"/>
      <c r="AG6" s="248"/>
      <c r="AH6" s="264"/>
      <c r="AI6" s="264"/>
      <c r="AJ6" s="264"/>
      <c r="AK6" s="264"/>
      <c r="AL6" s="494"/>
      <c r="AM6" s="494"/>
      <c r="AN6" s="494"/>
    </row>
    <row r="7" spans="1:42" s="244" customFormat="1" ht="15.75" x14ac:dyDescent="0.25">
      <c r="A7" s="522" t="s">
        <v>239</v>
      </c>
      <c r="B7" s="522"/>
      <c r="C7" s="522"/>
      <c r="D7" s="494"/>
      <c r="E7" s="494"/>
      <c r="F7" s="494"/>
      <c r="G7" s="245" t="s">
        <v>58</v>
      </c>
      <c r="H7" s="494" t="str">
        <f>G1</f>
        <v>A Deeks</v>
      </c>
      <c r="I7" s="245"/>
      <c r="J7" s="245"/>
      <c r="K7" s="245"/>
      <c r="L7" s="245"/>
      <c r="M7" s="245"/>
      <c r="N7" s="245" t="s">
        <v>57</v>
      </c>
      <c r="O7" s="494" t="str">
        <f>G2</f>
        <v>J Scott</v>
      </c>
      <c r="P7" s="494"/>
      <c r="Q7" s="494"/>
      <c r="R7" s="245"/>
      <c r="S7" s="494"/>
      <c r="T7" s="245"/>
      <c r="U7" s="494"/>
      <c r="V7" s="494"/>
      <c r="W7" s="494"/>
      <c r="X7" s="245" t="s">
        <v>59</v>
      </c>
      <c r="Y7" s="494" t="str">
        <f>G3</f>
        <v>R Bruderer</v>
      </c>
      <c r="Z7" s="494"/>
      <c r="AA7" s="494"/>
      <c r="AB7" s="494"/>
      <c r="AC7" s="494"/>
      <c r="AD7" s="494"/>
      <c r="AE7" s="494"/>
      <c r="AF7" s="494"/>
      <c r="AG7" s="494"/>
      <c r="AH7" s="404"/>
      <c r="AI7" s="404"/>
      <c r="AJ7" s="404"/>
      <c r="AK7" s="404"/>
      <c r="AL7" s="494"/>
      <c r="AM7" s="494"/>
      <c r="AN7" s="494"/>
    </row>
    <row r="8" spans="1:42" s="244" customFormat="1" ht="15.75" x14ac:dyDescent="0.25">
      <c r="A8" s="493" t="s">
        <v>64</v>
      </c>
      <c r="B8" s="493" t="s">
        <v>240</v>
      </c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264"/>
      <c r="AI8" s="264"/>
      <c r="AJ8" s="264"/>
      <c r="AK8" s="264"/>
      <c r="AL8" s="494"/>
      <c r="AM8" s="494"/>
      <c r="AN8" s="494"/>
    </row>
    <row r="9" spans="1:42" s="244" customFormat="1" ht="15" x14ac:dyDescent="0.25">
      <c r="A9" s="494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253" t="s">
        <v>25</v>
      </c>
      <c r="W9" s="254"/>
      <c r="X9" s="494"/>
      <c r="Y9" s="494"/>
      <c r="Z9" s="494"/>
      <c r="AA9" s="494"/>
      <c r="AB9" s="494"/>
      <c r="AC9" s="494"/>
      <c r="AD9" s="494"/>
      <c r="AE9" s="494"/>
      <c r="AF9" s="253" t="s">
        <v>25</v>
      </c>
      <c r="AG9" s="254"/>
      <c r="AH9" s="406"/>
      <c r="AI9" s="264"/>
      <c r="AJ9" s="264"/>
      <c r="AK9" s="257"/>
      <c r="AL9" s="256" t="s">
        <v>61</v>
      </c>
      <c r="AM9" s="254"/>
      <c r="AN9" s="494"/>
    </row>
    <row r="10" spans="1:42" s="244" customFormat="1" ht="15" x14ac:dyDescent="0.25">
      <c r="A10" s="253" t="s">
        <v>33</v>
      </c>
      <c r="B10" s="253" t="s">
        <v>34</v>
      </c>
      <c r="C10" s="253" t="s">
        <v>35</v>
      </c>
      <c r="D10" s="253" t="s">
        <v>36</v>
      </c>
      <c r="E10" s="253" t="s">
        <v>66</v>
      </c>
      <c r="F10" s="254"/>
      <c r="G10" s="253" t="s">
        <v>35</v>
      </c>
      <c r="H10" s="253"/>
      <c r="I10" s="253"/>
      <c r="J10" s="253"/>
      <c r="K10" s="253"/>
      <c r="L10" s="255"/>
      <c r="M10" s="254"/>
      <c r="N10" s="253" t="s">
        <v>38</v>
      </c>
      <c r="O10" s="253" t="s">
        <v>39</v>
      </c>
      <c r="P10" s="253" t="s">
        <v>51</v>
      </c>
      <c r="Q10" s="253" t="s">
        <v>48</v>
      </c>
      <c r="R10" s="253" t="s">
        <v>78</v>
      </c>
      <c r="S10" s="255" t="s">
        <v>53</v>
      </c>
      <c r="T10" s="253" t="s">
        <v>82</v>
      </c>
      <c r="U10" s="253" t="s">
        <v>60</v>
      </c>
      <c r="V10" s="253" t="s">
        <v>28</v>
      </c>
      <c r="W10" s="254"/>
      <c r="X10" s="253" t="s">
        <v>38</v>
      </c>
      <c r="Y10" s="253" t="s">
        <v>39</v>
      </c>
      <c r="Z10" s="253" t="s">
        <v>51</v>
      </c>
      <c r="AA10" s="253" t="s">
        <v>48</v>
      </c>
      <c r="AB10" s="253" t="s">
        <v>78</v>
      </c>
      <c r="AC10" s="253" t="s">
        <v>53</v>
      </c>
      <c r="AD10" s="253" t="s">
        <v>82</v>
      </c>
      <c r="AE10" s="253" t="s">
        <v>60</v>
      </c>
      <c r="AF10" s="253" t="s">
        <v>28</v>
      </c>
      <c r="AG10" s="254"/>
      <c r="AH10" s="407" t="s">
        <v>101</v>
      </c>
      <c r="AI10" s="255" t="s">
        <v>102</v>
      </c>
      <c r="AJ10" s="255" t="s">
        <v>103</v>
      </c>
      <c r="AK10" s="254"/>
      <c r="AL10" s="256" t="s">
        <v>41</v>
      </c>
      <c r="AM10" s="254"/>
      <c r="AN10" s="256" t="s">
        <v>44</v>
      </c>
    </row>
    <row r="11" spans="1:42" s="244" customFormat="1" ht="15" x14ac:dyDescent="0.25">
      <c r="A11" s="494"/>
      <c r="B11" s="494"/>
      <c r="C11" s="494"/>
      <c r="D11" s="494"/>
      <c r="E11" s="494"/>
      <c r="F11" s="257"/>
      <c r="G11" s="262" t="s">
        <v>7</v>
      </c>
      <c r="H11" s="262" t="s">
        <v>8</v>
      </c>
      <c r="I11" s="262" t="s">
        <v>9</v>
      </c>
      <c r="J11" s="262" t="s">
        <v>10</v>
      </c>
      <c r="K11" s="262" t="s">
        <v>11</v>
      </c>
      <c r="L11" s="263" t="s">
        <v>35</v>
      </c>
      <c r="M11" s="257"/>
      <c r="N11" s="494"/>
      <c r="O11" s="494"/>
      <c r="P11" s="494"/>
      <c r="Q11" s="494"/>
      <c r="R11" s="494"/>
      <c r="S11" s="264"/>
      <c r="T11" s="494"/>
      <c r="U11" s="494"/>
      <c r="V11" s="494"/>
      <c r="W11" s="257"/>
      <c r="X11" s="494"/>
      <c r="Y11" s="494"/>
      <c r="Z11" s="494"/>
      <c r="AA11" s="494"/>
      <c r="AB11" s="494"/>
      <c r="AC11" s="494"/>
      <c r="AD11" s="494"/>
      <c r="AE11" s="494"/>
      <c r="AF11" s="494"/>
      <c r="AG11" s="257"/>
      <c r="AH11" s="406"/>
      <c r="AI11" s="264"/>
      <c r="AJ11" s="264"/>
      <c r="AK11" s="257"/>
      <c r="AL11" s="494"/>
      <c r="AM11" s="257"/>
      <c r="AN11" s="494"/>
    </row>
    <row r="12" spans="1:42" s="244" customFormat="1" ht="15" x14ac:dyDescent="0.25">
      <c r="A12" s="287">
        <v>1</v>
      </c>
      <c r="B12" s="292" t="s">
        <v>124</v>
      </c>
      <c r="C12" s="290"/>
      <c r="D12" s="290"/>
      <c r="E12" s="290"/>
      <c r="F12" s="257"/>
      <c r="G12" s="288"/>
      <c r="H12" s="288"/>
      <c r="I12" s="288"/>
      <c r="J12" s="288"/>
      <c r="K12" s="288"/>
      <c r="L12" s="266"/>
      <c r="M12" s="257"/>
      <c r="N12" s="267">
        <v>6</v>
      </c>
      <c r="O12" s="267">
        <v>6.5</v>
      </c>
      <c r="P12" s="267">
        <v>5.5</v>
      </c>
      <c r="Q12" s="267">
        <v>8</v>
      </c>
      <c r="R12" s="267">
        <v>7</v>
      </c>
      <c r="S12" s="267">
        <v>7</v>
      </c>
      <c r="T12" s="267">
        <v>6</v>
      </c>
      <c r="U12" s="268">
        <f t="shared" ref="U12:U17" si="0">SUM(N12:T12)</f>
        <v>46</v>
      </c>
      <c r="V12" s="269"/>
      <c r="W12" s="257"/>
      <c r="X12" s="267">
        <v>6.5</v>
      </c>
      <c r="Y12" s="267">
        <v>6.7</v>
      </c>
      <c r="Z12" s="267">
        <v>6.5</v>
      </c>
      <c r="AA12" s="267">
        <v>7.5</v>
      </c>
      <c r="AB12" s="267">
        <v>7</v>
      </c>
      <c r="AC12" s="267">
        <v>6.7</v>
      </c>
      <c r="AD12" s="267">
        <v>6.5</v>
      </c>
      <c r="AE12" s="268">
        <f t="shared" ref="AE12:AE17" si="1">SUM(X12:AD12)</f>
        <v>47.400000000000006</v>
      </c>
      <c r="AF12" s="269"/>
      <c r="AG12" s="274"/>
      <c r="AH12" s="416"/>
      <c r="AI12" s="415"/>
      <c r="AJ12" s="415"/>
      <c r="AK12" s="414"/>
      <c r="AL12" s="266"/>
      <c r="AM12" s="271"/>
      <c r="AN12" s="288"/>
    </row>
    <row r="13" spans="1:42" s="244" customFormat="1" ht="15" x14ac:dyDescent="0.25">
      <c r="A13" s="287">
        <v>2</v>
      </c>
      <c r="B13" s="292" t="s">
        <v>125</v>
      </c>
      <c r="C13" s="290"/>
      <c r="D13" s="290"/>
      <c r="E13" s="290"/>
      <c r="F13" s="257"/>
      <c r="G13" s="288"/>
      <c r="H13" s="288"/>
      <c r="I13" s="288"/>
      <c r="J13" s="288"/>
      <c r="K13" s="288"/>
      <c r="L13" s="288"/>
      <c r="M13" s="257"/>
      <c r="N13" s="267">
        <v>6</v>
      </c>
      <c r="O13" s="267">
        <v>7</v>
      </c>
      <c r="P13" s="267">
        <v>7</v>
      </c>
      <c r="Q13" s="267">
        <v>8</v>
      </c>
      <c r="R13" s="267">
        <v>6</v>
      </c>
      <c r="S13" s="267">
        <v>6</v>
      </c>
      <c r="T13" s="267">
        <v>6.5</v>
      </c>
      <c r="U13" s="268">
        <f t="shared" si="0"/>
        <v>46.5</v>
      </c>
      <c r="V13" s="269"/>
      <c r="W13" s="257"/>
      <c r="X13" s="267">
        <v>5.7</v>
      </c>
      <c r="Y13" s="267">
        <v>7.5</v>
      </c>
      <c r="Z13" s="267">
        <v>7</v>
      </c>
      <c r="AA13" s="267">
        <v>8.5</v>
      </c>
      <c r="AB13" s="267">
        <v>7.8</v>
      </c>
      <c r="AC13" s="267">
        <v>6.7</v>
      </c>
      <c r="AD13" s="267">
        <v>7.5</v>
      </c>
      <c r="AE13" s="268">
        <f t="shared" si="1"/>
        <v>50.7</v>
      </c>
      <c r="AF13" s="269"/>
      <c r="AG13" s="274"/>
      <c r="AH13" s="416"/>
      <c r="AI13" s="415"/>
      <c r="AJ13" s="415"/>
      <c r="AK13" s="414"/>
      <c r="AL13" s="266"/>
      <c r="AM13" s="257"/>
      <c r="AN13" s="288"/>
    </row>
    <row r="14" spans="1:42" s="244" customFormat="1" ht="15" x14ac:dyDescent="0.25">
      <c r="A14" s="287">
        <v>3</v>
      </c>
      <c r="B14" s="292" t="s">
        <v>126</v>
      </c>
      <c r="C14" s="290"/>
      <c r="D14" s="290"/>
      <c r="E14" s="290"/>
      <c r="F14" s="257"/>
      <c r="G14" s="288"/>
      <c r="H14" s="288"/>
      <c r="I14" s="288"/>
      <c r="J14" s="288"/>
      <c r="K14" s="288"/>
      <c r="L14" s="288"/>
      <c r="M14" s="257"/>
      <c r="N14" s="267">
        <v>5.5</v>
      </c>
      <c r="O14" s="267">
        <v>5</v>
      </c>
      <c r="P14" s="267">
        <v>4</v>
      </c>
      <c r="Q14" s="267">
        <v>6.5</v>
      </c>
      <c r="R14" s="267">
        <v>6.5</v>
      </c>
      <c r="S14" s="267">
        <v>5</v>
      </c>
      <c r="T14" s="267">
        <v>5.5</v>
      </c>
      <c r="U14" s="268">
        <f t="shared" si="0"/>
        <v>38</v>
      </c>
      <c r="V14" s="269"/>
      <c r="W14" s="257"/>
      <c r="X14" s="267">
        <v>4</v>
      </c>
      <c r="Y14" s="267">
        <v>6.3</v>
      </c>
      <c r="Z14" s="267">
        <v>5.2</v>
      </c>
      <c r="AA14" s="267">
        <v>7</v>
      </c>
      <c r="AB14" s="267">
        <v>6</v>
      </c>
      <c r="AC14" s="267">
        <v>5</v>
      </c>
      <c r="AD14" s="267">
        <v>5.5</v>
      </c>
      <c r="AE14" s="268">
        <f t="shared" si="1"/>
        <v>39</v>
      </c>
      <c r="AF14" s="269"/>
      <c r="AG14" s="274"/>
      <c r="AH14" s="416"/>
      <c r="AI14" s="415"/>
      <c r="AJ14" s="415"/>
      <c r="AK14" s="414"/>
      <c r="AL14" s="266"/>
      <c r="AM14" s="257"/>
      <c r="AN14" s="288"/>
    </row>
    <row r="15" spans="1:42" s="244" customFormat="1" ht="15" x14ac:dyDescent="0.25">
      <c r="A15" s="287">
        <v>4</v>
      </c>
      <c r="B15" s="292" t="s">
        <v>127</v>
      </c>
      <c r="C15" s="290"/>
      <c r="D15" s="290"/>
      <c r="E15" s="290"/>
      <c r="F15" s="257"/>
      <c r="G15" s="288"/>
      <c r="H15" s="288"/>
      <c r="I15" s="288"/>
      <c r="J15" s="288"/>
      <c r="K15" s="288"/>
      <c r="L15" s="288"/>
      <c r="M15" s="257"/>
      <c r="N15" s="267">
        <v>4.5</v>
      </c>
      <c r="O15" s="267">
        <v>6</v>
      </c>
      <c r="P15" s="267">
        <v>4.5</v>
      </c>
      <c r="Q15" s="267">
        <v>5.5</v>
      </c>
      <c r="R15" s="267">
        <v>5.5</v>
      </c>
      <c r="S15" s="267">
        <v>5.5</v>
      </c>
      <c r="T15" s="267">
        <v>4</v>
      </c>
      <c r="U15" s="268">
        <f t="shared" si="0"/>
        <v>35.5</v>
      </c>
      <c r="V15" s="269"/>
      <c r="W15" s="257"/>
      <c r="X15" s="267">
        <v>6.2</v>
      </c>
      <c r="Y15" s="267">
        <v>7</v>
      </c>
      <c r="Z15" s="267">
        <v>5.3</v>
      </c>
      <c r="AA15" s="267">
        <v>4</v>
      </c>
      <c r="AB15" s="267">
        <v>5</v>
      </c>
      <c r="AC15" s="267">
        <v>5.2</v>
      </c>
      <c r="AD15" s="267">
        <v>5.3</v>
      </c>
      <c r="AE15" s="268">
        <f t="shared" si="1"/>
        <v>38</v>
      </c>
      <c r="AF15" s="269"/>
      <c r="AG15" s="274"/>
      <c r="AH15" s="416"/>
      <c r="AI15" s="415"/>
      <c r="AJ15" s="415"/>
      <c r="AK15" s="414"/>
      <c r="AL15" s="266"/>
      <c r="AM15" s="257"/>
      <c r="AN15" s="288"/>
    </row>
    <row r="16" spans="1:42" s="244" customFormat="1" ht="15" x14ac:dyDescent="0.25">
      <c r="A16" s="287">
        <v>5</v>
      </c>
      <c r="B16" s="292" t="s">
        <v>128</v>
      </c>
      <c r="C16" s="290"/>
      <c r="D16" s="290"/>
      <c r="E16" s="290"/>
      <c r="F16" s="257"/>
      <c r="G16" s="288"/>
      <c r="H16" s="288"/>
      <c r="I16" s="288"/>
      <c r="J16" s="288"/>
      <c r="K16" s="288"/>
      <c r="L16" s="288"/>
      <c r="M16" s="257"/>
      <c r="N16" s="267">
        <v>4</v>
      </c>
      <c r="O16" s="267">
        <v>4.5</v>
      </c>
      <c r="P16" s="267">
        <v>4.5</v>
      </c>
      <c r="Q16" s="267">
        <v>4</v>
      </c>
      <c r="R16" s="267">
        <v>4</v>
      </c>
      <c r="S16" s="267">
        <v>4</v>
      </c>
      <c r="T16" s="267">
        <v>4.5</v>
      </c>
      <c r="U16" s="268">
        <f t="shared" si="0"/>
        <v>29.5</v>
      </c>
      <c r="V16" s="269"/>
      <c r="W16" s="257"/>
      <c r="X16" s="267">
        <v>5</v>
      </c>
      <c r="Y16" s="267">
        <v>5.7</v>
      </c>
      <c r="Z16" s="267">
        <v>3.5</v>
      </c>
      <c r="AA16" s="267">
        <v>3</v>
      </c>
      <c r="AB16" s="267">
        <v>5.5</v>
      </c>
      <c r="AC16" s="267">
        <v>3</v>
      </c>
      <c r="AD16" s="267">
        <v>5</v>
      </c>
      <c r="AE16" s="268">
        <f t="shared" si="1"/>
        <v>30.7</v>
      </c>
      <c r="AF16" s="269"/>
      <c r="AG16" s="274"/>
      <c r="AH16" s="416"/>
      <c r="AI16" s="415"/>
      <c r="AJ16" s="415"/>
      <c r="AK16" s="414"/>
      <c r="AL16" s="266"/>
      <c r="AM16" s="257"/>
      <c r="AN16" s="288"/>
    </row>
    <row r="17" spans="1:40" s="244" customFormat="1" ht="15" x14ac:dyDescent="0.25">
      <c r="A17" s="287">
        <v>6</v>
      </c>
      <c r="B17" s="292" t="s">
        <v>129</v>
      </c>
      <c r="C17" s="290"/>
      <c r="D17" s="290"/>
      <c r="E17" s="290"/>
      <c r="F17" s="257"/>
      <c r="G17" s="288"/>
      <c r="H17" s="288"/>
      <c r="I17" s="288"/>
      <c r="J17" s="288"/>
      <c r="K17" s="288"/>
      <c r="L17" s="288"/>
      <c r="M17" s="257"/>
      <c r="N17" s="267">
        <v>5</v>
      </c>
      <c r="O17" s="267">
        <v>6</v>
      </c>
      <c r="P17" s="267">
        <v>4.5</v>
      </c>
      <c r="Q17" s="267">
        <v>3</v>
      </c>
      <c r="R17" s="267">
        <v>4</v>
      </c>
      <c r="S17" s="267">
        <v>4.5</v>
      </c>
      <c r="T17" s="267">
        <v>5.5</v>
      </c>
      <c r="U17" s="268">
        <f t="shared" si="0"/>
        <v>32.5</v>
      </c>
      <c r="V17" s="269"/>
      <c r="W17" s="257"/>
      <c r="X17" s="267">
        <v>5.7</v>
      </c>
      <c r="Y17" s="267">
        <v>6.5</v>
      </c>
      <c r="Z17" s="267">
        <v>6</v>
      </c>
      <c r="AA17" s="267">
        <v>2.7</v>
      </c>
      <c r="AB17" s="267">
        <v>5.5</v>
      </c>
      <c r="AC17" s="267">
        <v>5.7</v>
      </c>
      <c r="AD17" s="267">
        <v>5.7</v>
      </c>
      <c r="AE17" s="268">
        <f t="shared" si="1"/>
        <v>37.800000000000004</v>
      </c>
      <c r="AF17" s="269"/>
      <c r="AG17" s="274"/>
      <c r="AH17" s="416"/>
      <c r="AI17" s="415"/>
      <c r="AJ17" s="415"/>
      <c r="AK17" s="414"/>
      <c r="AL17" s="266"/>
      <c r="AM17" s="257"/>
      <c r="AN17" s="288"/>
    </row>
    <row r="18" spans="1:40" s="244" customFormat="1" ht="15" x14ac:dyDescent="0.25">
      <c r="A18" s="386"/>
      <c r="B18" s="291"/>
      <c r="C18" s="387" t="s">
        <v>130</v>
      </c>
      <c r="D18" s="387" t="s">
        <v>131</v>
      </c>
      <c r="E18" s="387" t="s">
        <v>132</v>
      </c>
      <c r="F18" s="297"/>
      <c r="G18" s="298">
        <v>6.9</v>
      </c>
      <c r="H18" s="298">
        <v>6.9</v>
      </c>
      <c r="I18" s="298">
        <v>6.8</v>
      </c>
      <c r="J18" s="298">
        <v>7.5</v>
      </c>
      <c r="K18" s="509">
        <v>8</v>
      </c>
      <c r="L18" s="301">
        <f>SUM((G18*0.3),(H18*0.25),(I18*0.25),(J18*0.15),(K18*0.05))</f>
        <v>7.0200000000000005</v>
      </c>
      <c r="M18" s="299"/>
      <c r="N18" s="495"/>
      <c r="O18" s="495"/>
      <c r="P18" s="495"/>
      <c r="Q18" s="495"/>
      <c r="R18" s="495"/>
      <c r="S18" s="495"/>
      <c r="T18" s="495" t="s">
        <v>29</v>
      </c>
      <c r="U18" s="304">
        <f>SUM(U12:U17)</f>
        <v>228</v>
      </c>
      <c r="V18" s="304">
        <f>(U18/6)/7</f>
        <v>5.4285714285714288</v>
      </c>
      <c r="W18" s="303"/>
      <c r="X18" s="495"/>
      <c r="Y18" s="495"/>
      <c r="Z18" s="495"/>
      <c r="AA18" s="495"/>
      <c r="AB18" s="495"/>
      <c r="AC18" s="495"/>
      <c r="AD18" s="495" t="s">
        <v>29</v>
      </c>
      <c r="AE18" s="304">
        <f>SUM(AE12:AE17)</f>
        <v>243.60000000000002</v>
      </c>
      <c r="AF18" s="304">
        <f>(AE18/6)/7</f>
        <v>5.8</v>
      </c>
      <c r="AG18" s="310"/>
      <c r="AH18" s="408">
        <f>L18</f>
        <v>7.0200000000000005</v>
      </c>
      <c r="AI18" s="405">
        <f>V18</f>
        <v>5.4285714285714288</v>
      </c>
      <c r="AJ18" s="405">
        <f>AF18</f>
        <v>5.8</v>
      </c>
      <c r="AK18" s="299"/>
      <c r="AL18" s="301">
        <f>SUM((L18*0.25)+(V18*0.375)+(AF18*0.375))</f>
        <v>5.9657142857142853</v>
      </c>
      <c r="AM18" s="303"/>
      <c r="AN18" s="305">
        <v>1</v>
      </c>
    </row>
    <row r="19" spans="1:40" s="278" customFormat="1" ht="15.75" x14ac:dyDescent="0.25">
      <c r="A19" s="287">
        <v>1</v>
      </c>
      <c r="B19" s="293" t="s">
        <v>133</v>
      </c>
      <c r="C19" s="289"/>
      <c r="D19" s="289"/>
      <c r="E19" s="293" t="s">
        <v>141</v>
      </c>
      <c r="F19" s="257"/>
      <c r="G19" s="288"/>
      <c r="H19" s="288"/>
      <c r="I19" s="288"/>
      <c r="J19" s="288"/>
      <c r="K19" s="288"/>
      <c r="L19" s="266"/>
      <c r="M19" s="257"/>
      <c r="N19" s="267">
        <v>6</v>
      </c>
      <c r="O19" s="267">
        <v>6.5</v>
      </c>
      <c r="P19" s="267">
        <v>5.5</v>
      </c>
      <c r="Q19" s="267">
        <v>5.5</v>
      </c>
      <c r="R19" s="267">
        <v>7.5</v>
      </c>
      <c r="S19" s="267">
        <v>6.5</v>
      </c>
      <c r="T19" s="267">
        <v>7</v>
      </c>
      <c r="U19" s="268">
        <f t="shared" ref="U19:U24" si="2">SUM(N19:T19)</f>
        <v>44.5</v>
      </c>
      <c r="V19" s="269"/>
      <c r="W19" s="257"/>
      <c r="X19" s="267">
        <v>6</v>
      </c>
      <c r="Y19" s="267">
        <v>7</v>
      </c>
      <c r="Z19" s="267">
        <v>7</v>
      </c>
      <c r="AA19" s="267">
        <v>3.5</v>
      </c>
      <c r="AB19" s="267">
        <v>7</v>
      </c>
      <c r="AC19" s="267">
        <v>6.3</v>
      </c>
      <c r="AD19" s="267">
        <v>6.2</v>
      </c>
      <c r="AE19" s="268">
        <f t="shared" ref="AE19:AE24" si="3">SUM(X19:AD19)</f>
        <v>43</v>
      </c>
      <c r="AF19" s="269"/>
      <c r="AG19" s="274"/>
      <c r="AH19" s="416"/>
      <c r="AI19" s="415"/>
      <c r="AJ19" s="415"/>
      <c r="AK19" s="414"/>
      <c r="AL19" s="266"/>
      <c r="AM19" s="271"/>
      <c r="AN19" s="288"/>
    </row>
    <row r="20" spans="1:40" s="278" customFormat="1" ht="15.75" x14ac:dyDescent="0.25">
      <c r="A20" s="287">
        <v>2</v>
      </c>
      <c r="B20" s="293" t="s">
        <v>134</v>
      </c>
      <c r="C20" s="289"/>
      <c r="D20" s="289"/>
      <c r="E20" s="293" t="s">
        <v>116</v>
      </c>
      <c r="F20" s="257"/>
      <c r="G20" s="288"/>
      <c r="H20" s="288"/>
      <c r="I20" s="288"/>
      <c r="J20" s="288"/>
      <c r="K20" s="288"/>
      <c r="L20" s="288"/>
      <c r="M20" s="257"/>
      <c r="N20" s="267">
        <v>6.5</v>
      </c>
      <c r="O20" s="267">
        <v>6.5</v>
      </c>
      <c r="P20" s="267">
        <v>4</v>
      </c>
      <c r="Q20" s="267">
        <v>3.5</v>
      </c>
      <c r="R20" s="267">
        <v>5.5</v>
      </c>
      <c r="S20" s="267">
        <v>6</v>
      </c>
      <c r="T20" s="267">
        <v>5</v>
      </c>
      <c r="U20" s="268">
        <f t="shared" si="2"/>
        <v>37</v>
      </c>
      <c r="V20" s="269"/>
      <c r="W20" s="257"/>
      <c r="X20" s="267">
        <v>4.7</v>
      </c>
      <c r="Y20" s="267">
        <v>7</v>
      </c>
      <c r="Z20" s="267">
        <v>6.3</v>
      </c>
      <c r="AA20" s="267">
        <v>0</v>
      </c>
      <c r="AB20" s="267">
        <v>6</v>
      </c>
      <c r="AC20" s="267">
        <v>6.2</v>
      </c>
      <c r="AD20" s="267">
        <v>6</v>
      </c>
      <c r="AE20" s="268">
        <f t="shared" si="3"/>
        <v>36.200000000000003</v>
      </c>
      <c r="AF20" s="269"/>
      <c r="AG20" s="274"/>
      <c r="AH20" s="416"/>
      <c r="AI20" s="415"/>
      <c r="AJ20" s="415"/>
      <c r="AK20" s="414"/>
      <c r="AL20" s="266"/>
      <c r="AM20" s="257"/>
      <c r="AN20" s="288"/>
    </row>
    <row r="21" spans="1:40" s="278" customFormat="1" ht="15.75" x14ac:dyDescent="0.25">
      <c r="A21" s="287">
        <v>3</v>
      </c>
      <c r="B21" s="293" t="s">
        <v>135</v>
      </c>
      <c r="C21" s="289"/>
      <c r="D21" s="289"/>
      <c r="E21" s="293" t="s">
        <v>116</v>
      </c>
      <c r="F21" s="257"/>
      <c r="G21" s="288"/>
      <c r="H21" s="288"/>
      <c r="I21" s="288"/>
      <c r="J21" s="288"/>
      <c r="K21" s="288"/>
      <c r="L21" s="288"/>
      <c r="M21" s="257"/>
      <c r="N21" s="267">
        <v>4.5</v>
      </c>
      <c r="O21" s="267">
        <v>6.5</v>
      </c>
      <c r="P21" s="267">
        <v>6.5</v>
      </c>
      <c r="Q21" s="267">
        <v>6.5</v>
      </c>
      <c r="R21" s="267">
        <v>6</v>
      </c>
      <c r="S21" s="267">
        <v>6.5</v>
      </c>
      <c r="T21" s="267">
        <v>4</v>
      </c>
      <c r="U21" s="268">
        <f t="shared" si="2"/>
        <v>40.5</v>
      </c>
      <c r="V21" s="269"/>
      <c r="W21" s="257"/>
      <c r="X21" s="267">
        <v>6.2</v>
      </c>
      <c r="Y21" s="267">
        <v>6.7</v>
      </c>
      <c r="Z21" s="267">
        <v>6</v>
      </c>
      <c r="AA21" s="267">
        <v>5.3</v>
      </c>
      <c r="AB21" s="267">
        <v>4.7</v>
      </c>
      <c r="AC21" s="267">
        <v>5.3</v>
      </c>
      <c r="AD21" s="267">
        <v>5.2</v>
      </c>
      <c r="AE21" s="268">
        <f t="shared" si="3"/>
        <v>39.4</v>
      </c>
      <c r="AF21" s="269"/>
      <c r="AG21" s="274"/>
      <c r="AH21" s="416"/>
      <c r="AI21" s="415"/>
      <c r="AJ21" s="415"/>
      <c r="AK21" s="414"/>
      <c r="AL21" s="266"/>
      <c r="AM21" s="257"/>
      <c r="AN21" s="288"/>
    </row>
    <row r="22" spans="1:40" s="278" customFormat="1" ht="15.75" x14ac:dyDescent="0.25">
      <c r="A22" s="287">
        <v>4</v>
      </c>
      <c r="B22" s="293" t="s">
        <v>136</v>
      </c>
      <c r="C22" s="289"/>
      <c r="D22" s="289"/>
      <c r="E22" s="293" t="s">
        <v>116</v>
      </c>
      <c r="F22" s="257"/>
      <c r="G22" s="288"/>
      <c r="H22" s="288"/>
      <c r="I22" s="288"/>
      <c r="J22" s="288"/>
      <c r="K22" s="288"/>
      <c r="L22" s="288"/>
      <c r="M22" s="257"/>
      <c r="N22" s="267">
        <v>5.5</v>
      </c>
      <c r="O22" s="267">
        <v>6</v>
      </c>
      <c r="P22" s="267">
        <v>6</v>
      </c>
      <c r="Q22" s="267">
        <v>3</v>
      </c>
      <c r="R22" s="267">
        <v>5.5</v>
      </c>
      <c r="S22" s="267">
        <v>6</v>
      </c>
      <c r="T22" s="267">
        <v>5.5</v>
      </c>
      <c r="U22" s="268">
        <f t="shared" si="2"/>
        <v>37.5</v>
      </c>
      <c r="V22" s="269"/>
      <c r="W22" s="257"/>
      <c r="X22" s="267">
        <v>5.5</v>
      </c>
      <c r="Y22" s="267">
        <v>6.5</v>
      </c>
      <c r="Z22" s="267">
        <v>6.2</v>
      </c>
      <c r="AA22" s="267">
        <v>0</v>
      </c>
      <c r="AB22" s="267">
        <v>5.5</v>
      </c>
      <c r="AC22" s="267">
        <v>6</v>
      </c>
      <c r="AD22" s="267">
        <v>6.2</v>
      </c>
      <c r="AE22" s="268">
        <f t="shared" si="3"/>
        <v>35.9</v>
      </c>
      <c r="AF22" s="269"/>
      <c r="AG22" s="274"/>
      <c r="AH22" s="416"/>
      <c r="AI22" s="415"/>
      <c r="AJ22" s="415"/>
      <c r="AK22" s="414"/>
      <c r="AL22" s="266"/>
      <c r="AM22" s="257"/>
      <c r="AN22" s="288"/>
    </row>
    <row r="23" spans="1:40" s="278" customFormat="1" ht="15.75" x14ac:dyDescent="0.25">
      <c r="A23" s="287">
        <v>5</v>
      </c>
      <c r="B23" s="293" t="s">
        <v>137</v>
      </c>
      <c r="C23" s="289"/>
      <c r="D23" s="289"/>
      <c r="E23" s="293" t="s">
        <v>116</v>
      </c>
      <c r="F23" s="257"/>
      <c r="G23" s="288"/>
      <c r="H23" s="288"/>
      <c r="I23" s="288"/>
      <c r="J23" s="288"/>
      <c r="K23" s="288"/>
      <c r="L23" s="288"/>
      <c r="M23" s="257"/>
      <c r="N23" s="267">
        <v>5</v>
      </c>
      <c r="O23" s="267">
        <v>5.5</v>
      </c>
      <c r="P23" s="267">
        <v>6</v>
      </c>
      <c r="Q23" s="267">
        <v>5</v>
      </c>
      <c r="R23" s="267">
        <v>5.5</v>
      </c>
      <c r="S23" s="267">
        <v>5</v>
      </c>
      <c r="T23" s="267">
        <v>4.5</v>
      </c>
      <c r="U23" s="268">
        <f t="shared" si="2"/>
        <v>36.5</v>
      </c>
      <c r="V23" s="269"/>
      <c r="W23" s="257"/>
      <c r="X23" s="267">
        <v>4.7</v>
      </c>
      <c r="Y23" s="267">
        <v>6.5</v>
      </c>
      <c r="Z23" s="267">
        <v>6</v>
      </c>
      <c r="AA23" s="267">
        <v>5.7</v>
      </c>
      <c r="AB23" s="267">
        <v>5.7</v>
      </c>
      <c r="AC23" s="267">
        <v>5.3</v>
      </c>
      <c r="AD23" s="267">
        <v>5.7</v>
      </c>
      <c r="AE23" s="268">
        <f t="shared" si="3"/>
        <v>39.6</v>
      </c>
      <c r="AF23" s="269"/>
      <c r="AG23" s="274"/>
      <c r="AH23" s="416"/>
      <c r="AI23" s="415"/>
      <c r="AJ23" s="415"/>
      <c r="AK23" s="414"/>
      <c r="AL23" s="266"/>
      <c r="AM23" s="257"/>
      <c r="AN23" s="288"/>
    </row>
    <row r="24" spans="1:40" s="278" customFormat="1" ht="15.75" x14ac:dyDescent="0.25">
      <c r="A24" s="287">
        <v>6</v>
      </c>
      <c r="B24" s="293" t="s">
        <v>138</v>
      </c>
      <c r="C24" s="289"/>
      <c r="D24" s="289"/>
      <c r="E24" s="293" t="s">
        <v>142</v>
      </c>
      <c r="F24" s="257"/>
      <c r="G24" s="288"/>
      <c r="H24" s="288"/>
      <c r="I24" s="288"/>
      <c r="J24" s="288"/>
      <c r="K24" s="288"/>
      <c r="L24" s="288"/>
      <c r="M24" s="257"/>
      <c r="N24" s="267">
        <v>6</v>
      </c>
      <c r="O24" s="267">
        <v>6.5</v>
      </c>
      <c r="P24" s="267">
        <v>6</v>
      </c>
      <c r="Q24" s="267">
        <v>5.5</v>
      </c>
      <c r="R24" s="267">
        <v>6</v>
      </c>
      <c r="S24" s="267">
        <v>6.5</v>
      </c>
      <c r="T24" s="267">
        <v>6</v>
      </c>
      <c r="U24" s="268">
        <f t="shared" si="2"/>
        <v>42.5</v>
      </c>
      <c r="V24" s="269"/>
      <c r="W24" s="257"/>
      <c r="X24" s="267">
        <v>5</v>
      </c>
      <c r="Y24" s="267">
        <v>7</v>
      </c>
      <c r="Z24" s="267">
        <v>6.2</v>
      </c>
      <c r="AA24" s="267">
        <v>4</v>
      </c>
      <c r="AB24" s="267">
        <v>5.3</v>
      </c>
      <c r="AC24" s="267">
        <v>5.2</v>
      </c>
      <c r="AD24" s="267">
        <v>6.5</v>
      </c>
      <c r="AE24" s="268">
        <f t="shared" si="3"/>
        <v>39.200000000000003</v>
      </c>
      <c r="AF24" s="269"/>
      <c r="AG24" s="274"/>
      <c r="AH24" s="416"/>
      <c r="AI24" s="415"/>
      <c r="AJ24" s="415"/>
      <c r="AK24" s="414"/>
      <c r="AL24" s="266"/>
      <c r="AM24" s="257"/>
      <c r="AN24" s="288"/>
    </row>
    <row r="25" spans="1:40" s="278" customFormat="1" ht="15.75" x14ac:dyDescent="0.25">
      <c r="A25" s="295"/>
      <c r="B25" s="291"/>
      <c r="C25" s="417" t="s">
        <v>139</v>
      </c>
      <c r="D25" s="291" t="s">
        <v>140</v>
      </c>
      <c r="E25" s="291" t="s">
        <v>143</v>
      </c>
      <c r="F25" s="297"/>
      <c r="G25" s="509">
        <v>7</v>
      </c>
      <c r="H25" s="298">
        <v>6.8</v>
      </c>
      <c r="I25" s="298">
        <v>6.7</v>
      </c>
      <c r="J25" s="298">
        <v>7.4</v>
      </c>
      <c r="K25" s="298">
        <v>8.5</v>
      </c>
      <c r="L25" s="301">
        <f>SUM((G25*0.3),(H25*0.25),(I25*0.25),(J25*0.15),(K25*0.05))</f>
        <v>7.01</v>
      </c>
      <c r="M25" s="299"/>
      <c r="N25" s="495"/>
      <c r="O25" s="495"/>
      <c r="P25" s="495"/>
      <c r="Q25" s="495"/>
      <c r="R25" s="495"/>
      <c r="S25" s="495"/>
      <c r="T25" s="495" t="s">
        <v>29</v>
      </c>
      <c r="U25" s="304">
        <f>SUM(U19:U24)</f>
        <v>238.5</v>
      </c>
      <c r="V25" s="304">
        <f>(U25/6)/7</f>
        <v>5.6785714285714288</v>
      </c>
      <c r="W25" s="303"/>
      <c r="X25" s="495"/>
      <c r="Y25" s="495"/>
      <c r="Z25" s="495"/>
      <c r="AA25" s="495"/>
      <c r="AB25" s="495"/>
      <c r="AC25" s="495"/>
      <c r="AD25" s="495" t="s">
        <v>29</v>
      </c>
      <c r="AE25" s="304">
        <f>SUM(AE19:AE24)</f>
        <v>233.3</v>
      </c>
      <c r="AF25" s="304">
        <f>(AE25/6)/7</f>
        <v>5.5547619047619046</v>
      </c>
      <c r="AG25" s="310"/>
      <c r="AH25" s="408">
        <f>L25</f>
        <v>7.01</v>
      </c>
      <c r="AI25" s="405">
        <f>V25</f>
        <v>5.6785714285714288</v>
      </c>
      <c r="AJ25" s="405">
        <f>AF25</f>
        <v>5.5547619047619046</v>
      </c>
      <c r="AK25" s="299"/>
      <c r="AL25" s="301">
        <f>SUM((L25*0.25)+(V25*0.375)+(AF25*0.375))</f>
        <v>5.9649999999999999</v>
      </c>
      <c r="AM25" s="303"/>
      <c r="AN25" s="305">
        <v>2</v>
      </c>
    </row>
    <row r="26" spans="1:40" s="278" customFormat="1" ht="15" x14ac:dyDescent="0.25">
      <c r="A26" s="276"/>
      <c r="B26" s="277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</row>
    <row r="27" spans="1:40" s="278" customFormat="1" ht="15" x14ac:dyDescent="0.25">
      <c r="A27" s="279"/>
      <c r="B27" s="231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</row>
    <row r="28" spans="1:40" s="278" customFormat="1" ht="15" x14ac:dyDescent="0.25">
      <c r="A28" s="279"/>
      <c r="B28" s="231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</row>
    <row r="29" spans="1:40" s="278" customFormat="1" ht="15" x14ac:dyDescent="0.25">
      <c r="A29" s="279"/>
      <c r="B29" s="231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</row>
    <row r="30" spans="1:40" s="278" customFormat="1" ht="15" x14ac:dyDescent="0.25">
      <c r="A30" s="279"/>
      <c r="B30" s="231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</row>
    <row r="31" spans="1:40" s="278" customFormat="1" ht="15" customHeight="1" x14ac:dyDescent="0.25">
      <c r="A31" s="279"/>
      <c r="B31" s="231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</row>
    <row r="32" spans="1:40" s="244" customFormat="1" ht="15" x14ac:dyDescent="0.25">
      <c r="A32" s="279"/>
      <c r="B32" s="231"/>
      <c r="C32" s="231"/>
      <c r="D32" s="231"/>
      <c r="E32" s="231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</row>
    <row r="33" spans="1:40" s="244" customFormat="1" ht="15" x14ac:dyDescent="0.25">
      <c r="A33" s="279"/>
      <c r="B33" s="231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</row>
    <row r="34" spans="1:40" s="244" customFormat="1" ht="15" x14ac:dyDescent="0.25">
      <c r="A34" s="279"/>
      <c r="B34" s="231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</row>
    <row r="35" spans="1:40" s="244" customFormat="1" ht="15" x14ac:dyDescent="0.25">
      <c r="A35" s="279"/>
      <c r="B35" s="231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</row>
    <row r="36" spans="1:40" s="244" customFormat="1" ht="15" x14ac:dyDescent="0.25">
      <c r="A36" s="279"/>
      <c r="B36" s="231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</row>
    <row r="37" spans="1:40" s="244" customFormat="1" ht="15" x14ac:dyDescent="0.25">
      <c r="A37" s="279"/>
      <c r="B37" s="231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</row>
    <row r="38" spans="1:40" s="244" customFormat="1" ht="15" x14ac:dyDescent="0.25">
      <c r="A38" s="279"/>
      <c r="B38" s="231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</row>
    <row r="39" spans="1:40" s="244" customFormat="1" ht="15" x14ac:dyDescent="0.25">
      <c r="A39" s="494"/>
      <c r="B39" s="494"/>
      <c r="C39"/>
      <c r="D39"/>
      <c r="E39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264"/>
      <c r="AI39" s="264"/>
      <c r="AJ39" s="264"/>
      <c r="AK39" s="264"/>
      <c r="AL39" s="494"/>
      <c r="AM39" s="494"/>
      <c r="AN39" s="494"/>
    </row>
    <row r="40" spans="1:40" s="244" customFormat="1" ht="15" x14ac:dyDescent="0.25">
      <c r="A40" s="494"/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264"/>
      <c r="AI40" s="264"/>
      <c r="AJ40" s="264"/>
      <c r="AK40" s="264"/>
      <c r="AL40" s="494"/>
      <c r="AM40" s="494"/>
      <c r="AN40" s="494"/>
    </row>
    <row r="41" spans="1:40" s="244" customFormat="1" ht="15" x14ac:dyDescent="0.25">
      <c r="A41" s="494"/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264"/>
      <c r="AI41" s="264"/>
      <c r="AJ41" s="264"/>
      <c r="AK41" s="264"/>
      <c r="AL41" s="494"/>
      <c r="AM41" s="494"/>
      <c r="AN41" s="494"/>
    </row>
    <row r="42" spans="1:40" s="244" customFormat="1" ht="15" x14ac:dyDescent="0.25">
      <c r="A42" s="494"/>
      <c r="B42" s="494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264"/>
      <c r="AI42" s="264"/>
      <c r="AJ42" s="264"/>
      <c r="AK42" s="264"/>
      <c r="AL42" s="494"/>
      <c r="AM42" s="494"/>
      <c r="AN42" s="494"/>
    </row>
    <row r="43" spans="1:40" s="244" customFormat="1" ht="15" x14ac:dyDescent="0.25">
      <c r="A43" s="494"/>
      <c r="B43" s="494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264"/>
      <c r="AI43" s="264"/>
      <c r="AJ43" s="264"/>
      <c r="AK43" s="264"/>
      <c r="AL43" s="494"/>
      <c r="AM43" s="494"/>
      <c r="AN43" s="494"/>
    </row>
    <row r="44" spans="1:40" s="244" customFormat="1" ht="15" x14ac:dyDescent="0.25">
      <c r="A44" s="494"/>
      <c r="B44" s="494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264"/>
      <c r="AI44" s="264"/>
      <c r="AJ44" s="264"/>
      <c r="AK44" s="264"/>
      <c r="AL44" s="494"/>
      <c r="AM44" s="494"/>
      <c r="AN44" s="494"/>
    </row>
    <row r="45" spans="1:40" s="244" customFormat="1" ht="15" x14ac:dyDescent="0.25">
      <c r="A45" s="494"/>
      <c r="B45" s="494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4"/>
      <c r="AE45" s="494"/>
      <c r="AF45" s="494"/>
      <c r="AG45" s="494"/>
      <c r="AH45" s="264"/>
      <c r="AI45" s="264"/>
      <c r="AJ45" s="264"/>
      <c r="AK45" s="264"/>
      <c r="AL45" s="494"/>
      <c r="AM45" s="494"/>
      <c r="AN45" s="494"/>
    </row>
    <row r="46" spans="1:40" s="244" customFormat="1" ht="15" x14ac:dyDescent="0.25">
      <c r="A46" s="494"/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264"/>
      <c r="AI46" s="264"/>
      <c r="AJ46" s="264"/>
      <c r="AK46" s="264"/>
      <c r="AL46" s="494"/>
      <c r="AM46" s="494"/>
      <c r="AN46" s="494"/>
    </row>
    <row r="47" spans="1:40" s="244" customFormat="1" ht="15" x14ac:dyDescent="0.25">
      <c r="A47" s="494"/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264"/>
      <c r="AI47" s="264"/>
      <c r="AJ47" s="264"/>
      <c r="AK47" s="264"/>
      <c r="AL47" s="494"/>
      <c r="AM47" s="494"/>
      <c r="AN47" s="494"/>
    </row>
    <row r="48" spans="1:40" s="244" customFormat="1" ht="15" x14ac:dyDescent="0.25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4"/>
      <c r="AH48" s="264"/>
      <c r="AI48" s="264"/>
      <c r="AJ48" s="264"/>
      <c r="AK48" s="264"/>
      <c r="AL48" s="494"/>
      <c r="AM48" s="494"/>
      <c r="AN48" s="494"/>
    </row>
    <row r="49" spans="1:40" s="244" customFormat="1" ht="15" x14ac:dyDescent="0.25">
      <c r="A49" s="494"/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494"/>
      <c r="AF49" s="494"/>
      <c r="AG49" s="494"/>
      <c r="AH49" s="264"/>
      <c r="AI49" s="264"/>
      <c r="AJ49" s="264"/>
      <c r="AK49" s="264"/>
      <c r="AL49" s="494"/>
      <c r="AM49" s="494"/>
      <c r="AN49" s="494"/>
    </row>
    <row r="50" spans="1:40" s="244" customFormat="1" ht="15" x14ac:dyDescent="0.25">
      <c r="A50" s="494"/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264"/>
      <c r="AI50" s="264"/>
      <c r="AJ50" s="264"/>
      <c r="AK50" s="264"/>
      <c r="AL50" s="494"/>
      <c r="AM50" s="494"/>
      <c r="AN50" s="494"/>
    </row>
    <row r="51" spans="1:40" s="244" customFormat="1" ht="15" x14ac:dyDescent="0.25">
      <c r="A51" s="494"/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494"/>
      <c r="Z51" s="494"/>
      <c r="AA51" s="494"/>
      <c r="AB51" s="494"/>
      <c r="AC51" s="494"/>
      <c r="AD51" s="494"/>
      <c r="AE51" s="494"/>
      <c r="AF51" s="494"/>
      <c r="AG51" s="494"/>
      <c r="AH51" s="264"/>
      <c r="AI51" s="264"/>
      <c r="AJ51" s="264"/>
      <c r="AK51" s="264"/>
      <c r="AL51" s="494"/>
      <c r="AM51" s="494"/>
      <c r="AN51" s="494"/>
    </row>
    <row r="52" spans="1:40" s="244" customFormat="1" ht="15" x14ac:dyDescent="0.25">
      <c r="A52" s="494"/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494"/>
      <c r="X52" s="494"/>
      <c r="Y52" s="494"/>
      <c r="Z52" s="494"/>
      <c r="AA52" s="494"/>
      <c r="AB52" s="494"/>
      <c r="AC52" s="494"/>
      <c r="AD52" s="494"/>
      <c r="AE52" s="494"/>
      <c r="AF52" s="494"/>
      <c r="AG52" s="494"/>
      <c r="AH52" s="264"/>
      <c r="AI52" s="264"/>
      <c r="AJ52" s="264"/>
      <c r="AK52" s="264"/>
      <c r="AL52" s="494"/>
      <c r="AM52" s="494"/>
      <c r="AN52" s="494"/>
    </row>
    <row r="53" spans="1:40" s="244" customFormat="1" ht="15" x14ac:dyDescent="0.25">
      <c r="A53" s="494"/>
      <c r="B53" s="494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4"/>
      <c r="AA53" s="494"/>
      <c r="AB53" s="494"/>
      <c r="AC53" s="494"/>
      <c r="AD53" s="494"/>
      <c r="AE53" s="494"/>
      <c r="AF53" s="494"/>
      <c r="AG53" s="494"/>
      <c r="AH53" s="264"/>
      <c r="AI53" s="264"/>
      <c r="AJ53" s="264"/>
      <c r="AK53" s="264"/>
      <c r="AL53" s="494"/>
      <c r="AM53" s="494"/>
      <c r="AN53" s="494"/>
    </row>
    <row r="54" spans="1:40" s="244" customFormat="1" ht="15" x14ac:dyDescent="0.25">
      <c r="A54" s="494"/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264"/>
      <c r="AI54" s="264"/>
      <c r="AJ54" s="264"/>
      <c r="AK54" s="264"/>
      <c r="AL54" s="494"/>
      <c r="AM54" s="494"/>
      <c r="AN54" s="494"/>
    </row>
    <row r="55" spans="1:40" s="244" customFormat="1" ht="15" x14ac:dyDescent="0.25">
      <c r="A55" s="494"/>
      <c r="B55" s="494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264"/>
      <c r="AI55" s="264"/>
      <c r="AJ55" s="264"/>
      <c r="AK55" s="264"/>
      <c r="AL55" s="494"/>
      <c r="AM55" s="494"/>
      <c r="AN55" s="494"/>
    </row>
    <row r="56" spans="1:40" s="244" customFormat="1" ht="15" x14ac:dyDescent="0.25">
      <c r="A56" s="494"/>
      <c r="B56" s="494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  <c r="AF56" s="494"/>
      <c r="AG56" s="494"/>
      <c r="AH56" s="264"/>
      <c r="AI56" s="264"/>
      <c r="AJ56" s="264"/>
      <c r="AK56" s="264"/>
      <c r="AL56" s="494"/>
      <c r="AM56" s="494"/>
      <c r="AN56" s="494"/>
    </row>
    <row r="57" spans="1:40" s="244" customFormat="1" ht="15" x14ac:dyDescent="0.25">
      <c r="A57" s="494"/>
      <c r="B57" s="494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494"/>
      <c r="Z57" s="494"/>
      <c r="AA57" s="494"/>
      <c r="AB57" s="494"/>
      <c r="AC57" s="494"/>
      <c r="AD57" s="494"/>
      <c r="AE57" s="494"/>
      <c r="AF57" s="494"/>
      <c r="AG57" s="494"/>
      <c r="AH57" s="264"/>
      <c r="AI57" s="264"/>
      <c r="AJ57" s="264"/>
      <c r="AK57" s="264"/>
      <c r="AL57" s="494"/>
      <c r="AM57" s="494"/>
      <c r="AN57" s="494"/>
    </row>
    <row r="58" spans="1:40" s="244" customFormat="1" ht="15" x14ac:dyDescent="0.25">
      <c r="A58" s="494"/>
      <c r="B58" s="494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264"/>
      <c r="AI58" s="264"/>
      <c r="AJ58" s="264"/>
      <c r="AK58" s="264"/>
      <c r="AL58" s="494"/>
      <c r="AM58" s="494"/>
      <c r="AN58" s="494"/>
    </row>
    <row r="59" spans="1:40" s="244" customFormat="1" ht="15" x14ac:dyDescent="0.25">
      <c r="A59" s="494"/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264"/>
      <c r="AI59" s="264"/>
      <c r="AJ59" s="264"/>
      <c r="AK59" s="264"/>
      <c r="AL59" s="494"/>
      <c r="AM59" s="494"/>
      <c r="AN59" s="494"/>
    </row>
    <row r="60" spans="1:40" s="244" customFormat="1" ht="15" x14ac:dyDescent="0.25">
      <c r="A60" s="494"/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  <c r="AF60" s="494"/>
      <c r="AG60" s="494"/>
      <c r="AH60" s="264"/>
      <c r="AI60" s="264"/>
      <c r="AJ60" s="264"/>
      <c r="AK60" s="264"/>
      <c r="AL60" s="494"/>
      <c r="AM60" s="494"/>
      <c r="AN60" s="494"/>
    </row>
    <row r="61" spans="1:40" s="244" customFormat="1" ht="15" x14ac:dyDescent="0.25">
      <c r="A61" s="494"/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264"/>
      <c r="AI61" s="264"/>
      <c r="AJ61" s="264"/>
      <c r="AK61" s="264"/>
      <c r="AL61" s="494"/>
      <c r="AM61" s="494"/>
      <c r="AN61" s="494"/>
    </row>
    <row r="62" spans="1:40" s="244" customFormat="1" ht="15" x14ac:dyDescent="0.25">
      <c r="A62" s="494"/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494"/>
      <c r="AF62" s="494"/>
      <c r="AG62" s="494"/>
      <c r="AH62" s="264"/>
      <c r="AI62" s="264"/>
      <c r="AJ62" s="264"/>
      <c r="AK62" s="264"/>
      <c r="AL62" s="494"/>
      <c r="AM62" s="494"/>
      <c r="AN62" s="494"/>
    </row>
    <row r="63" spans="1:40" s="244" customFormat="1" ht="15" x14ac:dyDescent="0.25">
      <c r="A63" s="494"/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494"/>
      <c r="AC63" s="494"/>
      <c r="AD63" s="494"/>
      <c r="AE63" s="494"/>
      <c r="AF63" s="494"/>
      <c r="AG63" s="494"/>
      <c r="AH63" s="264"/>
      <c r="AI63" s="264"/>
      <c r="AJ63" s="264"/>
      <c r="AK63" s="264"/>
      <c r="AL63" s="494"/>
      <c r="AM63" s="494"/>
      <c r="AN63" s="494"/>
    </row>
    <row r="64" spans="1:40" s="244" customFormat="1" ht="15" x14ac:dyDescent="0.25">
      <c r="A64" s="494"/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494"/>
      <c r="AF64" s="494"/>
      <c r="AG64" s="494"/>
      <c r="AH64" s="264"/>
      <c r="AI64" s="264"/>
      <c r="AJ64" s="264"/>
      <c r="AK64" s="264"/>
      <c r="AL64" s="494"/>
      <c r="AM64" s="494"/>
      <c r="AN64" s="494"/>
    </row>
    <row r="65" spans="1:40" s="244" customFormat="1" ht="15" x14ac:dyDescent="0.25">
      <c r="A65" s="494"/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264"/>
      <c r="AI65" s="264"/>
      <c r="AJ65" s="264"/>
      <c r="AK65" s="264"/>
      <c r="AL65" s="494"/>
      <c r="AM65" s="494"/>
      <c r="AN65" s="494"/>
    </row>
    <row r="66" spans="1:40" s="244" customFormat="1" ht="15" x14ac:dyDescent="0.25">
      <c r="A66" s="494"/>
      <c r="B66" s="494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264"/>
      <c r="AI66" s="264"/>
      <c r="AJ66" s="264"/>
      <c r="AK66" s="264"/>
      <c r="AL66" s="494"/>
      <c r="AM66" s="494"/>
      <c r="AN66" s="494"/>
    </row>
    <row r="67" spans="1:40" s="244" customFormat="1" ht="15" x14ac:dyDescent="0.25">
      <c r="A67" s="494"/>
      <c r="B67" s="494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494"/>
      <c r="AB67" s="494"/>
      <c r="AC67" s="494"/>
      <c r="AD67" s="494"/>
      <c r="AE67" s="494"/>
      <c r="AF67" s="494"/>
      <c r="AG67" s="494"/>
      <c r="AH67" s="264"/>
      <c r="AI67" s="264"/>
      <c r="AJ67" s="264"/>
      <c r="AK67" s="264"/>
      <c r="AL67" s="494"/>
      <c r="AM67" s="494"/>
      <c r="AN67" s="494"/>
    </row>
    <row r="68" spans="1:40" s="244" customFormat="1" ht="15" x14ac:dyDescent="0.25">
      <c r="A68" s="494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264"/>
      <c r="AI68" s="264"/>
      <c r="AJ68" s="264"/>
      <c r="AK68" s="264"/>
      <c r="AL68" s="494"/>
      <c r="AM68" s="494"/>
      <c r="AN68" s="494"/>
    </row>
    <row r="69" spans="1:40" s="244" customFormat="1" ht="15" x14ac:dyDescent="0.25">
      <c r="A69" s="494"/>
      <c r="B69" s="494"/>
      <c r="C69" s="494"/>
      <c r="D69" s="494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4"/>
      <c r="V69" s="494"/>
      <c r="W69" s="494"/>
      <c r="X69" s="494"/>
      <c r="Y69" s="494"/>
      <c r="Z69" s="494"/>
      <c r="AA69" s="494"/>
      <c r="AB69" s="494"/>
      <c r="AC69" s="494"/>
      <c r="AD69" s="494"/>
      <c r="AE69" s="494"/>
      <c r="AF69" s="494"/>
      <c r="AG69" s="494"/>
      <c r="AH69" s="264"/>
      <c r="AI69" s="264"/>
      <c r="AJ69" s="264"/>
      <c r="AK69" s="264"/>
      <c r="AL69" s="494"/>
      <c r="AM69" s="494"/>
      <c r="AN69" s="494"/>
    </row>
    <row r="70" spans="1:40" s="244" customFormat="1" ht="15" x14ac:dyDescent="0.25">
      <c r="A70" s="494"/>
      <c r="B70" s="494"/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4"/>
      <c r="V70" s="494"/>
      <c r="W70" s="494"/>
      <c r="X70" s="494"/>
      <c r="Y70" s="494"/>
      <c r="Z70" s="494"/>
      <c r="AA70" s="494"/>
      <c r="AB70" s="494"/>
      <c r="AC70" s="494"/>
      <c r="AD70" s="494"/>
      <c r="AE70" s="494"/>
      <c r="AF70" s="494"/>
      <c r="AG70" s="494"/>
      <c r="AH70" s="264"/>
      <c r="AI70" s="264"/>
      <c r="AJ70" s="264"/>
      <c r="AK70" s="264"/>
      <c r="AL70" s="494"/>
      <c r="AM70" s="494"/>
      <c r="AN70" s="494"/>
    </row>
    <row r="71" spans="1:40" s="244" customFormat="1" ht="15" x14ac:dyDescent="0.25">
      <c r="A71" s="494"/>
      <c r="B71" s="494"/>
      <c r="C71" s="494"/>
      <c r="D71" s="494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4"/>
      <c r="V71" s="494"/>
      <c r="W71" s="494"/>
      <c r="X71" s="494"/>
      <c r="Y71" s="494"/>
      <c r="Z71" s="494"/>
      <c r="AA71" s="494"/>
      <c r="AB71" s="494"/>
      <c r="AC71" s="494"/>
      <c r="AD71" s="494"/>
      <c r="AE71" s="494"/>
      <c r="AF71" s="494"/>
      <c r="AG71" s="494"/>
      <c r="AH71" s="264"/>
      <c r="AI71" s="264"/>
      <c r="AJ71" s="264"/>
      <c r="AK71" s="264"/>
      <c r="AL71" s="494"/>
      <c r="AM71" s="494"/>
      <c r="AN71" s="494"/>
    </row>
    <row r="72" spans="1:40" s="244" customFormat="1" ht="15" x14ac:dyDescent="0.25">
      <c r="A72" s="494"/>
      <c r="B72" s="494"/>
      <c r="C72" s="494"/>
      <c r="D72" s="494"/>
      <c r="E72" s="494"/>
      <c r="F72" s="494"/>
      <c r="G72" s="494"/>
      <c r="H72" s="494"/>
      <c r="I72" s="494"/>
      <c r="J72" s="494"/>
      <c r="K72" s="494"/>
      <c r="L72" s="494"/>
      <c r="M72" s="494"/>
      <c r="N72" s="494"/>
      <c r="O72" s="494"/>
      <c r="P72" s="494"/>
      <c r="Q72" s="494"/>
      <c r="R72" s="494"/>
      <c r="S72" s="494"/>
      <c r="T72" s="494"/>
      <c r="U72" s="494"/>
      <c r="V72" s="494"/>
      <c r="W72" s="494"/>
      <c r="X72" s="494"/>
      <c r="Y72" s="494"/>
      <c r="Z72" s="494"/>
      <c r="AA72" s="494"/>
      <c r="AB72" s="494"/>
      <c r="AC72" s="494"/>
      <c r="AD72" s="494"/>
      <c r="AE72" s="494"/>
      <c r="AF72" s="494"/>
      <c r="AG72" s="494"/>
      <c r="AH72" s="264"/>
      <c r="AI72" s="264"/>
      <c r="AJ72" s="264"/>
      <c r="AK72" s="264"/>
      <c r="AL72" s="494"/>
      <c r="AM72" s="494"/>
      <c r="AN72" s="494"/>
    </row>
    <row r="73" spans="1:40" s="244" customFormat="1" ht="15" x14ac:dyDescent="0.25">
      <c r="A73" s="494"/>
      <c r="B73" s="494"/>
      <c r="C73" s="494"/>
      <c r="D73" s="494"/>
      <c r="E73" s="494"/>
      <c r="F73" s="494"/>
      <c r="G73" s="494"/>
      <c r="H73" s="494"/>
      <c r="I73" s="494"/>
      <c r="J73" s="494"/>
      <c r="K73" s="494"/>
      <c r="L73" s="494"/>
      <c r="M73" s="494"/>
      <c r="N73" s="494"/>
      <c r="O73" s="494"/>
      <c r="P73" s="494"/>
      <c r="Q73" s="494"/>
      <c r="R73" s="494"/>
      <c r="S73" s="494"/>
      <c r="T73" s="494"/>
      <c r="U73" s="494"/>
      <c r="V73" s="494"/>
      <c r="W73" s="494"/>
      <c r="X73" s="494"/>
      <c r="Y73" s="494"/>
      <c r="Z73" s="494"/>
      <c r="AA73" s="494"/>
      <c r="AB73" s="494"/>
      <c r="AC73" s="494"/>
      <c r="AD73" s="494"/>
      <c r="AE73" s="494"/>
      <c r="AF73" s="494"/>
      <c r="AG73" s="494"/>
      <c r="AH73" s="264"/>
      <c r="AI73" s="264"/>
      <c r="AJ73" s="264"/>
      <c r="AK73" s="264"/>
      <c r="AL73" s="494"/>
      <c r="AM73" s="494"/>
      <c r="AN73" s="494"/>
    </row>
    <row r="74" spans="1:40" s="244" customFormat="1" ht="15" x14ac:dyDescent="0.25">
      <c r="A74" s="494"/>
      <c r="B74" s="494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  <c r="R74" s="494"/>
      <c r="S74" s="494"/>
      <c r="T74" s="494"/>
      <c r="U74" s="494"/>
      <c r="V74" s="494"/>
      <c r="W74" s="494"/>
      <c r="X74" s="494"/>
      <c r="Y74" s="494"/>
      <c r="Z74" s="494"/>
      <c r="AA74" s="494"/>
      <c r="AB74" s="494"/>
      <c r="AC74" s="494"/>
      <c r="AD74" s="494"/>
      <c r="AE74" s="494"/>
      <c r="AF74" s="494"/>
      <c r="AG74" s="494"/>
      <c r="AH74" s="264"/>
      <c r="AI74" s="264"/>
      <c r="AJ74" s="264"/>
      <c r="AK74" s="264"/>
      <c r="AL74" s="494"/>
      <c r="AM74" s="494"/>
      <c r="AN74" s="494"/>
    </row>
    <row r="75" spans="1:40" s="244" customFormat="1" ht="15" x14ac:dyDescent="0.25">
      <c r="A75" s="494"/>
      <c r="B75" s="494"/>
      <c r="C75" s="494"/>
      <c r="D75" s="494"/>
      <c r="E75" s="494"/>
      <c r="F75" s="494"/>
      <c r="G75" s="494"/>
      <c r="H75" s="494"/>
      <c r="I75" s="494"/>
      <c r="J75" s="494"/>
      <c r="K75" s="494"/>
      <c r="L75" s="494"/>
      <c r="M75" s="494"/>
      <c r="N75" s="494"/>
      <c r="O75" s="494"/>
      <c r="P75" s="494"/>
      <c r="Q75" s="494"/>
      <c r="R75" s="494"/>
      <c r="S75" s="494"/>
      <c r="T75" s="494"/>
      <c r="U75" s="494"/>
      <c r="V75" s="494"/>
      <c r="W75" s="494"/>
      <c r="X75" s="494"/>
      <c r="Y75" s="494"/>
      <c r="Z75" s="494"/>
      <c r="AA75" s="494"/>
      <c r="AB75" s="494"/>
      <c r="AC75" s="494"/>
      <c r="AD75" s="494"/>
      <c r="AE75" s="494"/>
      <c r="AF75" s="494"/>
      <c r="AG75" s="494"/>
      <c r="AH75" s="264"/>
      <c r="AI75" s="264"/>
      <c r="AJ75" s="264"/>
      <c r="AK75" s="264"/>
      <c r="AL75" s="494"/>
      <c r="AM75" s="494"/>
      <c r="AN75" s="494"/>
    </row>
    <row r="76" spans="1:40" s="244" customFormat="1" ht="15" x14ac:dyDescent="0.25">
      <c r="A76" s="494"/>
      <c r="B76" s="494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  <c r="Y76" s="494"/>
      <c r="Z76" s="494"/>
      <c r="AA76" s="494"/>
      <c r="AB76" s="494"/>
      <c r="AC76" s="494"/>
      <c r="AD76" s="494"/>
      <c r="AE76" s="494"/>
      <c r="AF76" s="494"/>
      <c r="AG76" s="494"/>
      <c r="AH76" s="264"/>
      <c r="AI76" s="264"/>
      <c r="AJ76" s="264"/>
      <c r="AK76" s="264"/>
      <c r="AL76" s="494"/>
      <c r="AM76" s="494"/>
      <c r="AN76" s="494"/>
    </row>
    <row r="77" spans="1:40" s="244" customFormat="1" ht="15" x14ac:dyDescent="0.25">
      <c r="A77" s="494"/>
      <c r="B77" s="494"/>
      <c r="C77" s="494"/>
      <c r="D77" s="494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  <c r="AA77" s="494"/>
      <c r="AB77" s="494"/>
      <c r="AC77" s="494"/>
      <c r="AD77" s="494"/>
      <c r="AE77" s="494"/>
      <c r="AF77" s="494"/>
      <c r="AG77" s="494"/>
      <c r="AH77" s="264"/>
      <c r="AI77" s="264"/>
      <c r="AJ77" s="264"/>
      <c r="AK77" s="264"/>
      <c r="AL77" s="494"/>
      <c r="AM77" s="494"/>
      <c r="AN77" s="494"/>
    </row>
    <row r="78" spans="1:40" s="244" customFormat="1" ht="15" x14ac:dyDescent="0.25">
      <c r="A78" s="494"/>
      <c r="B78" s="494"/>
      <c r="C78" s="494"/>
      <c r="D78" s="494"/>
      <c r="E78" s="494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494"/>
      <c r="U78" s="494"/>
      <c r="V78" s="494"/>
      <c r="W78" s="494"/>
      <c r="X78" s="494"/>
      <c r="Y78" s="494"/>
      <c r="Z78" s="494"/>
      <c r="AA78" s="494"/>
      <c r="AB78" s="494"/>
      <c r="AC78" s="494"/>
      <c r="AD78" s="494"/>
      <c r="AE78" s="494"/>
      <c r="AF78" s="494"/>
      <c r="AG78" s="494"/>
      <c r="AH78" s="264"/>
      <c r="AI78" s="264"/>
      <c r="AJ78" s="264"/>
      <c r="AK78" s="264"/>
      <c r="AL78" s="494"/>
      <c r="AM78" s="494"/>
      <c r="AN78" s="494"/>
    </row>
    <row r="79" spans="1:40" s="244" customFormat="1" ht="15" x14ac:dyDescent="0.25">
      <c r="A79" s="494"/>
      <c r="B79" s="494"/>
      <c r="C79" s="494"/>
      <c r="D79" s="494"/>
      <c r="E79" s="494"/>
      <c r="F79" s="494"/>
      <c r="G79" s="494"/>
      <c r="H79" s="494"/>
      <c r="I79" s="494"/>
      <c r="J79" s="494"/>
      <c r="K79" s="494"/>
      <c r="L79" s="494"/>
      <c r="M79" s="494"/>
      <c r="N79" s="494"/>
      <c r="O79" s="494"/>
      <c r="P79" s="494"/>
      <c r="Q79" s="494"/>
      <c r="R79" s="494"/>
      <c r="S79" s="494"/>
      <c r="T79" s="494"/>
      <c r="U79" s="494"/>
      <c r="V79" s="494"/>
      <c r="W79" s="494"/>
      <c r="X79" s="494"/>
      <c r="Y79" s="494"/>
      <c r="Z79" s="494"/>
      <c r="AA79" s="494"/>
      <c r="AB79" s="494"/>
      <c r="AC79" s="494"/>
      <c r="AD79" s="494"/>
      <c r="AE79" s="494"/>
      <c r="AF79" s="494"/>
      <c r="AG79" s="494"/>
      <c r="AH79" s="264"/>
      <c r="AI79" s="264"/>
      <c r="AJ79" s="264"/>
      <c r="AK79" s="264"/>
      <c r="AL79" s="494"/>
      <c r="AM79" s="494"/>
      <c r="AN79" s="494"/>
    </row>
    <row r="80" spans="1:40" s="244" customFormat="1" ht="15" x14ac:dyDescent="0.25">
      <c r="A80" s="494"/>
      <c r="B80" s="494"/>
      <c r="C80" s="494"/>
      <c r="D80" s="494"/>
      <c r="E80" s="494"/>
      <c r="F80" s="494"/>
      <c r="G80" s="494"/>
      <c r="H80" s="494"/>
      <c r="I80" s="494"/>
      <c r="J80" s="494"/>
      <c r="K80" s="494"/>
      <c r="L80" s="494"/>
      <c r="M80" s="494"/>
      <c r="N80" s="494"/>
      <c r="O80" s="494"/>
      <c r="P80" s="494"/>
      <c r="Q80" s="494"/>
      <c r="R80" s="494"/>
      <c r="S80" s="494"/>
      <c r="T80" s="494"/>
      <c r="U80" s="494"/>
      <c r="V80" s="494"/>
      <c r="W80" s="494"/>
      <c r="X80" s="494"/>
      <c r="Y80" s="494"/>
      <c r="Z80" s="494"/>
      <c r="AA80" s="494"/>
      <c r="AB80" s="494"/>
      <c r="AC80" s="494"/>
      <c r="AD80" s="494"/>
      <c r="AE80" s="494"/>
      <c r="AF80" s="494"/>
      <c r="AG80" s="494"/>
      <c r="AH80" s="264"/>
      <c r="AI80" s="264"/>
      <c r="AJ80" s="264"/>
      <c r="AK80" s="264"/>
      <c r="AL80" s="494"/>
      <c r="AM80" s="494"/>
      <c r="AN80" s="494"/>
    </row>
    <row r="81" spans="1:40" s="244" customFormat="1" ht="15" x14ac:dyDescent="0.25">
      <c r="A81" s="494"/>
      <c r="B81" s="494"/>
      <c r="C81" s="494"/>
      <c r="D81" s="494"/>
      <c r="E81" s="494"/>
      <c r="F81" s="494"/>
      <c r="G81" s="494"/>
      <c r="H81" s="494"/>
      <c r="I81" s="494"/>
      <c r="J81" s="494"/>
      <c r="K81" s="494"/>
      <c r="L81" s="494"/>
      <c r="M81" s="494"/>
      <c r="N81" s="494"/>
      <c r="O81" s="494"/>
      <c r="P81" s="494"/>
      <c r="Q81" s="494"/>
      <c r="R81" s="494"/>
      <c r="S81" s="494"/>
      <c r="T81" s="494"/>
      <c r="U81" s="494"/>
      <c r="V81" s="494"/>
      <c r="W81" s="494"/>
      <c r="X81" s="494"/>
      <c r="Y81" s="494"/>
      <c r="Z81" s="494"/>
      <c r="AA81" s="494"/>
      <c r="AB81" s="494"/>
      <c r="AC81" s="494"/>
      <c r="AD81" s="494"/>
      <c r="AE81" s="494"/>
      <c r="AF81" s="494"/>
      <c r="AG81" s="494"/>
      <c r="AH81" s="264"/>
      <c r="AI81" s="264"/>
      <c r="AJ81" s="264"/>
      <c r="AK81" s="264"/>
      <c r="AL81" s="494"/>
      <c r="AM81" s="494"/>
      <c r="AN81" s="494"/>
    </row>
    <row r="82" spans="1:40" s="244" customFormat="1" ht="15" x14ac:dyDescent="0.25">
      <c r="A82" s="494"/>
      <c r="B82" s="494"/>
      <c r="C82" s="494"/>
      <c r="D82" s="494"/>
      <c r="E82" s="494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4"/>
      <c r="U82" s="494"/>
      <c r="V82" s="494"/>
      <c r="W82" s="494"/>
      <c r="X82" s="494"/>
      <c r="Y82" s="494"/>
      <c r="Z82" s="494"/>
      <c r="AA82" s="494"/>
      <c r="AB82" s="494"/>
      <c r="AC82" s="494"/>
      <c r="AD82" s="494"/>
      <c r="AE82" s="494"/>
      <c r="AF82" s="494"/>
      <c r="AG82" s="494"/>
      <c r="AH82" s="264"/>
      <c r="AI82" s="264"/>
      <c r="AJ82" s="264"/>
      <c r="AK82" s="264"/>
      <c r="AL82" s="494"/>
      <c r="AM82" s="494"/>
      <c r="AN82" s="494"/>
    </row>
    <row r="83" spans="1:40" s="244" customFormat="1" ht="15" x14ac:dyDescent="0.25">
      <c r="A83" s="494"/>
      <c r="B83" s="494"/>
      <c r="C83" s="494"/>
      <c r="D83" s="494"/>
      <c r="E83" s="494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4"/>
      <c r="S83" s="494"/>
      <c r="T83" s="494"/>
      <c r="U83" s="494"/>
      <c r="V83" s="494"/>
      <c r="W83" s="494"/>
      <c r="X83" s="494"/>
      <c r="Y83" s="494"/>
      <c r="Z83" s="494"/>
      <c r="AA83" s="494"/>
      <c r="AB83" s="494"/>
      <c r="AC83" s="494"/>
      <c r="AD83" s="494"/>
      <c r="AE83" s="494"/>
      <c r="AF83" s="494"/>
      <c r="AG83" s="494"/>
      <c r="AH83" s="264"/>
      <c r="AI83" s="264"/>
      <c r="AJ83" s="264"/>
      <c r="AK83" s="264"/>
      <c r="AL83" s="494"/>
      <c r="AM83" s="494"/>
      <c r="AN83" s="494"/>
    </row>
    <row r="84" spans="1:40" s="244" customFormat="1" ht="15" x14ac:dyDescent="0.25">
      <c r="A84" s="494"/>
      <c r="B84" s="494"/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4"/>
      <c r="P84" s="494"/>
      <c r="Q84" s="494"/>
      <c r="R84" s="494"/>
      <c r="S84" s="494"/>
      <c r="T84" s="494"/>
      <c r="U84" s="494"/>
      <c r="V84" s="494"/>
      <c r="W84" s="494"/>
      <c r="X84" s="494"/>
      <c r="Y84" s="494"/>
      <c r="Z84" s="494"/>
      <c r="AA84" s="494"/>
      <c r="AB84" s="494"/>
      <c r="AC84" s="494"/>
      <c r="AD84" s="494"/>
      <c r="AE84" s="494"/>
      <c r="AF84" s="494"/>
      <c r="AG84" s="494"/>
      <c r="AH84" s="264"/>
      <c r="AI84" s="264"/>
      <c r="AJ84" s="264"/>
      <c r="AK84" s="264"/>
      <c r="AL84" s="494"/>
      <c r="AM84" s="494"/>
      <c r="AN84" s="494"/>
    </row>
    <row r="85" spans="1:40" s="244" customFormat="1" ht="15" x14ac:dyDescent="0.25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264"/>
      <c r="AI85" s="264"/>
      <c r="AJ85" s="264"/>
      <c r="AK85" s="264"/>
      <c r="AL85" s="494"/>
      <c r="AM85" s="494"/>
      <c r="AN85" s="494"/>
    </row>
    <row r="86" spans="1:40" s="244" customFormat="1" ht="15" x14ac:dyDescent="0.25">
      <c r="A86" s="494"/>
      <c r="B86" s="494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4"/>
      <c r="AD86" s="494"/>
      <c r="AE86" s="494"/>
      <c r="AF86" s="494"/>
      <c r="AG86" s="494"/>
      <c r="AH86" s="264"/>
      <c r="AI86" s="264"/>
      <c r="AJ86" s="264"/>
      <c r="AK86" s="264"/>
      <c r="AL86" s="494"/>
      <c r="AM86" s="494"/>
      <c r="AN86" s="494"/>
    </row>
    <row r="87" spans="1:40" s="244" customFormat="1" ht="15" x14ac:dyDescent="0.25">
      <c r="A87" s="494"/>
      <c r="B87" s="494"/>
      <c r="C87" s="494"/>
      <c r="D87" s="494"/>
      <c r="E87" s="494"/>
      <c r="F87" s="494"/>
      <c r="G87" s="494"/>
      <c r="H87" s="494"/>
      <c r="I87" s="494"/>
      <c r="J87" s="494"/>
      <c r="K87" s="494"/>
      <c r="L87" s="494"/>
      <c r="M87" s="494"/>
      <c r="N87" s="494"/>
      <c r="O87" s="494"/>
      <c r="P87" s="494"/>
      <c r="Q87" s="494"/>
      <c r="R87" s="494"/>
      <c r="S87" s="494"/>
      <c r="T87" s="494"/>
      <c r="U87" s="494"/>
      <c r="V87" s="494"/>
      <c r="W87" s="494"/>
      <c r="X87" s="494"/>
      <c r="Y87" s="494"/>
      <c r="Z87" s="494"/>
      <c r="AA87" s="494"/>
      <c r="AB87" s="494"/>
      <c r="AC87" s="494"/>
      <c r="AD87" s="494"/>
      <c r="AE87" s="494"/>
      <c r="AF87" s="494"/>
      <c r="AG87" s="494"/>
      <c r="AH87" s="264"/>
      <c r="AI87" s="264"/>
      <c r="AJ87" s="264"/>
      <c r="AK87" s="264"/>
      <c r="AL87" s="494"/>
      <c r="AM87" s="494"/>
      <c r="AN87" s="494"/>
    </row>
    <row r="88" spans="1:40" s="244" customFormat="1" ht="15" x14ac:dyDescent="0.25">
      <c r="A88" s="494"/>
      <c r="B88" s="494"/>
      <c r="C88" s="494"/>
      <c r="D88" s="494"/>
      <c r="E88" s="494"/>
      <c r="F88" s="494"/>
      <c r="G88" s="494"/>
      <c r="H88" s="494"/>
      <c r="I88" s="494"/>
      <c r="J88" s="494"/>
      <c r="K88" s="494"/>
      <c r="L88" s="494"/>
      <c r="M88" s="494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  <c r="Y88" s="494"/>
      <c r="Z88" s="494"/>
      <c r="AA88" s="494"/>
      <c r="AB88" s="494"/>
      <c r="AC88" s="494"/>
      <c r="AD88" s="494"/>
      <c r="AE88" s="494"/>
      <c r="AF88" s="494"/>
      <c r="AG88" s="494"/>
      <c r="AH88" s="264"/>
      <c r="AI88" s="264"/>
      <c r="AJ88" s="264"/>
      <c r="AK88" s="264"/>
      <c r="AL88" s="494"/>
      <c r="AM88" s="494"/>
      <c r="AN88" s="494"/>
    </row>
    <row r="89" spans="1:40" s="244" customFormat="1" ht="15" x14ac:dyDescent="0.25">
      <c r="A89" s="494"/>
      <c r="B89" s="494"/>
      <c r="C89" s="494"/>
      <c r="D89" s="494"/>
      <c r="E89" s="494"/>
      <c r="F89" s="494"/>
      <c r="G89" s="494"/>
      <c r="H89" s="494"/>
      <c r="I89" s="494"/>
      <c r="J89" s="494"/>
      <c r="K89" s="494"/>
      <c r="L89" s="494"/>
      <c r="M89" s="494"/>
      <c r="N89" s="494"/>
      <c r="O89" s="494"/>
      <c r="P89" s="494"/>
      <c r="Q89" s="494"/>
      <c r="R89" s="494"/>
      <c r="S89" s="494"/>
      <c r="T89" s="494"/>
      <c r="U89" s="494"/>
      <c r="V89" s="494"/>
      <c r="W89" s="494"/>
      <c r="X89" s="494"/>
      <c r="Y89" s="494"/>
      <c r="Z89" s="494"/>
      <c r="AA89" s="494"/>
      <c r="AB89" s="494"/>
      <c r="AC89" s="494"/>
      <c r="AD89" s="494"/>
      <c r="AE89" s="494"/>
      <c r="AF89" s="494"/>
      <c r="AG89" s="494"/>
      <c r="AH89" s="264"/>
      <c r="AI89" s="264"/>
      <c r="AJ89" s="264"/>
      <c r="AK89" s="264"/>
      <c r="AL89" s="494"/>
      <c r="AM89" s="494"/>
      <c r="AN89" s="494"/>
    </row>
    <row r="90" spans="1:40" s="244" customFormat="1" ht="15" x14ac:dyDescent="0.25">
      <c r="A90" s="494"/>
      <c r="B90" s="494"/>
      <c r="C90" s="494"/>
      <c r="D90" s="494"/>
      <c r="E90" s="494"/>
      <c r="F90" s="494"/>
      <c r="G90" s="494"/>
      <c r="H90" s="494"/>
      <c r="I90" s="494"/>
      <c r="J90" s="494"/>
      <c r="K90" s="494"/>
      <c r="L90" s="494"/>
      <c r="M90" s="494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4"/>
      <c r="Y90" s="494"/>
      <c r="Z90" s="494"/>
      <c r="AA90" s="494"/>
      <c r="AB90" s="494"/>
      <c r="AC90" s="494"/>
      <c r="AD90" s="494"/>
      <c r="AE90" s="494"/>
      <c r="AF90" s="494"/>
      <c r="AG90" s="494"/>
      <c r="AH90" s="264"/>
      <c r="AI90" s="264"/>
      <c r="AJ90" s="264"/>
      <c r="AK90" s="264"/>
      <c r="AL90" s="494"/>
      <c r="AM90" s="494"/>
      <c r="AN90" s="494"/>
    </row>
    <row r="91" spans="1:40" s="244" customFormat="1" ht="15" x14ac:dyDescent="0.25">
      <c r="A91" s="494"/>
      <c r="B91" s="494"/>
      <c r="C91" s="494"/>
      <c r="D91" s="494"/>
      <c r="E91" s="494"/>
      <c r="F91" s="494"/>
      <c r="G91" s="494"/>
      <c r="H91" s="494"/>
      <c r="I91" s="494"/>
      <c r="J91" s="494"/>
      <c r="K91" s="494"/>
      <c r="L91" s="494"/>
      <c r="M91" s="494"/>
      <c r="N91" s="494"/>
      <c r="O91" s="494"/>
      <c r="P91" s="494"/>
      <c r="Q91" s="494"/>
      <c r="R91" s="494"/>
      <c r="S91" s="494"/>
      <c r="T91" s="494"/>
      <c r="U91" s="494"/>
      <c r="V91" s="494"/>
      <c r="W91" s="494"/>
      <c r="X91" s="494"/>
      <c r="Y91" s="494"/>
      <c r="Z91" s="494"/>
      <c r="AA91" s="494"/>
      <c r="AB91" s="494"/>
      <c r="AC91" s="494"/>
      <c r="AD91" s="494"/>
      <c r="AE91" s="494"/>
      <c r="AF91" s="494"/>
      <c r="AG91" s="494"/>
      <c r="AH91" s="264"/>
      <c r="AI91" s="264"/>
      <c r="AJ91" s="264"/>
      <c r="AK91" s="264"/>
      <c r="AL91" s="494"/>
      <c r="AM91" s="494"/>
      <c r="AN91" s="494"/>
    </row>
    <row r="92" spans="1:40" s="244" customFormat="1" ht="15" x14ac:dyDescent="0.25">
      <c r="A92" s="494"/>
      <c r="B92" s="494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4"/>
      <c r="X92" s="494"/>
      <c r="Y92" s="494"/>
      <c r="Z92" s="494"/>
      <c r="AA92" s="494"/>
      <c r="AB92" s="494"/>
      <c r="AC92" s="494"/>
      <c r="AD92" s="494"/>
      <c r="AE92" s="494"/>
      <c r="AF92" s="494"/>
      <c r="AG92" s="494"/>
      <c r="AH92" s="264"/>
      <c r="AI92" s="264"/>
      <c r="AJ92" s="264"/>
      <c r="AK92" s="264"/>
      <c r="AL92" s="494"/>
      <c r="AM92" s="494"/>
      <c r="AN92" s="494"/>
    </row>
    <row r="93" spans="1:40" s="244" customFormat="1" ht="15" x14ac:dyDescent="0.25">
      <c r="A93" s="494"/>
      <c r="B93" s="494"/>
      <c r="C93" s="494"/>
      <c r="D93" s="494"/>
      <c r="E93" s="494"/>
      <c r="F93" s="494"/>
      <c r="G93" s="494"/>
      <c r="H93" s="494"/>
      <c r="I93" s="494"/>
      <c r="J93" s="494"/>
      <c r="K93" s="494"/>
      <c r="L93" s="494"/>
      <c r="M93" s="494"/>
      <c r="N93" s="494"/>
      <c r="O93" s="494"/>
      <c r="P93" s="494"/>
      <c r="Q93" s="494"/>
      <c r="R93" s="494"/>
      <c r="S93" s="494"/>
      <c r="T93" s="494"/>
      <c r="U93" s="494"/>
      <c r="V93" s="494"/>
      <c r="W93" s="494"/>
      <c r="X93" s="494"/>
      <c r="Y93" s="494"/>
      <c r="Z93" s="494"/>
      <c r="AA93" s="494"/>
      <c r="AB93" s="494"/>
      <c r="AC93" s="494"/>
      <c r="AD93" s="494"/>
      <c r="AE93" s="494"/>
      <c r="AF93" s="494"/>
      <c r="AG93" s="494"/>
      <c r="AH93" s="264"/>
      <c r="AI93" s="264"/>
      <c r="AJ93" s="264"/>
      <c r="AK93" s="264"/>
      <c r="AL93" s="494"/>
      <c r="AM93" s="494"/>
      <c r="AN93" s="494"/>
    </row>
    <row r="94" spans="1:40" s="244" customFormat="1" ht="15" x14ac:dyDescent="0.25">
      <c r="A94" s="494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494"/>
      <c r="Y94" s="494"/>
      <c r="Z94" s="494"/>
      <c r="AA94" s="494"/>
      <c r="AB94" s="494"/>
      <c r="AC94" s="494"/>
      <c r="AD94" s="494"/>
      <c r="AE94" s="494"/>
      <c r="AF94" s="494"/>
      <c r="AG94" s="494"/>
      <c r="AH94" s="264"/>
      <c r="AI94" s="264"/>
      <c r="AJ94" s="264"/>
      <c r="AK94" s="264"/>
      <c r="AL94" s="494"/>
      <c r="AM94" s="494"/>
      <c r="AN94" s="494"/>
    </row>
    <row r="95" spans="1:40" s="244" customFormat="1" ht="15" x14ac:dyDescent="0.25">
      <c r="A95" s="494"/>
      <c r="B95" s="494"/>
      <c r="C95" s="494"/>
      <c r="D95" s="494"/>
      <c r="E95" s="494"/>
      <c r="F95" s="494"/>
      <c r="G95" s="494"/>
      <c r="H95" s="494"/>
      <c r="I95" s="494"/>
      <c r="J95" s="494"/>
      <c r="K95" s="494"/>
      <c r="L95" s="494"/>
      <c r="M95" s="494"/>
      <c r="N95" s="494"/>
      <c r="O95" s="494"/>
      <c r="P95" s="494"/>
      <c r="Q95" s="494"/>
      <c r="R95" s="494"/>
      <c r="S95" s="494"/>
      <c r="T95" s="494"/>
      <c r="U95" s="494"/>
      <c r="V95" s="494"/>
      <c r="W95" s="494"/>
      <c r="X95" s="494"/>
      <c r="Y95" s="494"/>
      <c r="Z95" s="494"/>
      <c r="AA95" s="494"/>
      <c r="AB95" s="494"/>
      <c r="AC95" s="494"/>
      <c r="AD95" s="494"/>
      <c r="AE95" s="494"/>
      <c r="AF95" s="494"/>
      <c r="AG95" s="494"/>
      <c r="AH95" s="264"/>
      <c r="AI95" s="264"/>
      <c r="AJ95" s="264"/>
      <c r="AK95" s="264"/>
      <c r="AL95" s="494"/>
      <c r="AM95" s="494"/>
      <c r="AN95" s="494"/>
    </row>
    <row r="96" spans="1:40" s="244" customFormat="1" ht="15" x14ac:dyDescent="0.25">
      <c r="A96" s="494"/>
      <c r="B96" s="494"/>
      <c r="C96" s="494"/>
      <c r="D96" s="494"/>
      <c r="E96" s="494"/>
      <c r="F96" s="494"/>
      <c r="G96" s="494"/>
      <c r="H96" s="494"/>
      <c r="I96" s="494"/>
      <c r="J96" s="494"/>
      <c r="K96" s="494"/>
      <c r="L96" s="494"/>
      <c r="M96" s="494"/>
      <c r="N96" s="494"/>
      <c r="O96" s="494"/>
      <c r="P96" s="494"/>
      <c r="Q96" s="494"/>
      <c r="R96" s="494"/>
      <c r="S96" s="494"/>
      <c r="T96" s="494"/>
      <c r="U96" s="494"/>
      <c r="V96" s="494"/>
      <c r="W96" s="494"/>
      <c r="X96" s="494"/>
      <c r="Y96" s="494"/>
      <c r="Z96" s="494"/>
      <c r="AA96" s="494"/>
      <c r="AB96" s="494"/>
      <c r="AC96" s="494"/>
      <c r="AD96" s="494"/>
      <c r="AE96" s="494"/>
      <c r="AF96" s="494"/>
      <c r="AG96" s="494"/>
      <c r="AH96" s="264"/>
      <c r="AI96" s="264"/>
      <c r="AJ96" s="264"/>
      <c r="AK96" s="264"/>
      <c r="AL96" s="494"/>
      <c r="AM96" s="494"/>
      <c r="AN96" s="494"/>
    </row>
    <row r="97" spans="1:40" s="244" customFormat="1" ht="15" x14ac:dyDescent="0.25">
      <c r="A97" s="494"/>
      <c r="B97" s="494"/>
      <c r="C97" s="494"/>
      <c r="D97" s="494"/>
      <c r="E97" s="494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94"/>
      <c r="Q97" s="494"/>
      <c r="R97" s="494"/>
      <c r="S97" s="494"/>
      <c r="T97" s="494"/>
      <c r="U97" s="494"/>
      <c r="V97" s="494"/>
      <c r="W97" s="494"/>
      <c r="X97" s="494"/>
      <c r="Y97" s="494"/>
      <c r="Z97" s="494"/>
      <c r="AA97" s="494"/>
      <c r="AB97" s="494"/>
      <c r="AC97" s="494"/>
      <c r="AD97" s="494"/>
      <c r="AE97" s="494"/>
      <c r="AF97" s="494"/>
      <c r="AG97" s="494"/>
      <c r="AH97" s="264"/>
      <c r="AI97" s="264"/>
      <c r="AJ97" s="264"/>
      <c r="AK97" s="264"/>
      <c r="AL97" s="494"/>
      <c r="AM97" s="494"/>
      <c r="AN97" s="494"/>
    </row>
    <row r="98" spans="1:40" s="244" customFormat="1" ht="15" x14ac:dyDescent="0.25">
      <c r="A98" s="494"/>
      <c r="B98" s="494"/>
      <c r="C98" s="494"/>
      <c r="D98" s="494"/>
      <c r="E98" s="494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494"/>
      <c r="AA98" s="494"/>
      <c r="AB98" s="494"/>
      <c r="AC98" s="494"/>
      <c r="AD98" s="494"/>
      <c r="AE98" s="494"/>
      <c r="AF98" s="494"/>
      <c r="AG98" s="494"/>
      <c r="AH98" s="264"/>
      <c r="AI98" s="264"/>
      <c r="AJ98" s="264"/>
      <c r="AK98" s="264"/>
      <c r="AL98" s="494"/>
      <c r="AM98" s="494"/>
      <c r="AN98" s="494"/>
    </row>
    <row r="99" spans="1:40" s="244" customFormat="1" ht="15" x14ac:dyDescent="0.25">
      <c r="A99" s="494"/>
      <c r="B99" s="494"/>
      <c r="C99" s="494"/>
      <c r="D99" s="494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4"/>
      <c r="AE99" s="494"/>
      <c r="AF99" s="494"/>
      <c r="AG99" s="494"/>
      <c r="AH99" s="264"/>
      <c r="AI99" s="264"/>
      <c r="AJ99" s="264"/>
      <c r="AK99" s="264"/>
      <c r="AL99" s="494"/>
      <c r="AM99" s="494"/>
      <c r="AN99" s="494"/>
    </row>
    <row r="100" spans="1:40" s="244" customFormat="1" ht="15" x14ac:dyDescent="0.25">
      <c r="A100" s="494"/>
      <c r="B100" s="494"/>
      <c r="C100" s="494"/>
      <c r="D100" s="494"/>
      <c r="E100" s="494"/>
      <c r="F100" s="494"/>
      <c r="G100" s="494"/>
      <c r="H100" s="494"/>
      <c r="I100" s="494"/>
      <c r="J100" s="494"/>
      <c r="K100" s="494"/>
      <c r="L100" s="494"/>
      <c r="M100" s="494"/>
      <c r="N100" s="494"/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4"/>
      <c r="Z100" s="494"/>
      <c r="AA100" s="494"/>
      <c r="AB100" s="494"/>
      <c r="AC100" s="494"/>
      <c r="AD100" s="494"/>
      <c r="AE100" s="494"/>
      <c r="AF100" s="494"/>
      <c r="AG100" s="494"/>
      <c r="AH100" s="264"/>
      <c r="AI100" s="264"/>
      <c r="AJ100" s="264"/>
      <c r="AK100" s="264"/>
      <c r="AL100" s="494"/>
      <c r="AM100" s="494"/>
      <c r="AN100" s="494"/>
    </row>
    <row r="101" spans="1:40" s="244" customFormat="1" ht="15" x14ac:dyDescent="0.25">
      <c r="A101" s="494"/>
      <c r="B101" s="494"/>
      <c r="C101" s="494"/>
      <c r="D101" s="494"/>
      <c r="E101" s="494"/>
      <c r="F101" s="494"/>
      <c r="G101" s="494"/>
      <c r="H101" s="494"/>
      <c r="I101" s="494"/>
      <c r="J101" s="494"/>
      <c r="K101" s="494"/>
      <c r="L101" s="494"/>
      <c r="M101" s="494"/>
      <c r="N101" s="494"/>
      <c r="O101" s="494"/>
      <c r="P101" s="494"/>
      <c r="Q101" s="494"/>
      <c r="R101" s="494"/>
      <c r="S101" s="494"/>
      <c r="T101" s="494"/>
      <c r="U101" s="494"/>
      <c r="V101" s="494"/>
      <c r="W101" s="494"/>
      <c r="X101" s="494"/>
      <c r="Y101" s="494"/>
      <c r="Z101" s="494"/>
      <c r="AA101" s="494"/>
      <c r="AB101" s="494"/>
      <c r="AC101" s="494"/>
      <c r="AD101" s="494"/>
      <c r="AE101" s="494"/>
      <c r="AF101" s="494"/>
      <c r="AG101" s="494"/>
      <c r="AH101" s="264"/>
      <c r="AI101" s="264"/>
      <c r="AJ101" s="264"/>
      <c r="AK101" s="264"/>
      <c r="AL101" s="494"/>
      <c r="AM101" s="494"/>
      <c r="AN101" s="494"/>
    </row>
    <row r="102" spans="1:40" s="244" customFormat="1" ht="15" x14ac:dyDescent="0.25">
      <c r="A102" s="494"/>
      <c r="B102" s="494"/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  <c r="M102" s="494"/>
      <c r="N102" s="494"/>
      <c r="O102" s="494"/>
      <c r="P102" s="494"/>
      <c r="Q102" s="494"/>
      <c r="R102" s="494"/>
      <c r="S102" s="494"/>
      <c r="T102" s="494"/>
      <c r="U102" s="494"/>
      <c r="V102" s="494"/>
      <c r="W102" s="494"/>
      <c r="X102" s="494"/>
      <c r="Y102" s="494"/>
      <c r="Z102" s="494"/>
      <c r="AA102" s="494"/>
      <c r="AB102" s="494"/>
      <c r="AC102" s="494"/>
      <c r="AD102" s="494"/>
      <c r="AE102" s="494"/>
      <c r="AF102" s="494"/>
      <c r="AG102" s="494"/>
      <c r="AH102" s="264"/>
      <c r="AI102" s="264"/>
      <c r="AJ102" s="264"/>
      <c r="AK102" s="264"/>
      <c r="AL102" s="494"/>
      <c r="AM102" s="494"/>
      <c r="AN102" s="494"/>
    </row>
    <row r="103" spans="1:40" s="244" customFormat="1" ht="15" x14ac:dyDescent="0.25">
      <c r="A103" s="494"/>
      <c r="B103" s="494"/>
      <c r="C103" s="494"/>
      <c r="D103" s="494"/>
      <c r="E103" s="494"/>
      <c r="F103" s="494"/>
      <c r="G103" s="494"/>
      <c r="H103" s="494"/>
      <c r="I103" s="494"/>
      <c r="J103" s="494"/>
      <c r="K103" s="494"/>
      <c r="L103" s="494"/>
      <c r="M103" s="494"/>
      <c r="N103" s="494"/>
      <c r="O103" s="494"/>
      <c r="P103" s="494"/>
      <c r="Q103" s="494"/>
      <c r="R103" s="494"/>
      <c r="S103" s="494"/>
      <c r="T103" s="494"/>
      <c r="U103" s="494"/>
      <c r="V103" s="494"/>
      <c r="W103" s="494"/>
      <c r="X103" s="494"/>
      <c r="Y103" s="494"/>
      <c r="Z103" s="494"/>
      <c r="AA103" s="494"/>
      <c r="AB103" s="494"/>
      <c r="AC103" s="494"/>
      <c r="AD103" s="494"/>
      <c r="AE103" s="494"/>
      <c r="AF103" s="494"/>
      <c r="AG103" s="494"/>
      <c r="AH103" s="264"/>
      <c r="AI103" s="264"/>
      <c r="AJ103" s="264"/>
      <c r="AK103" s="264"/>
      <c r="AL103" s="494"/>
      <c r="AM103" s="494"/>
      <c r="AN103" s="494"/>
    </row>
    <row r="104" spans="1:40" s="244" customFormat="1" ht="15" x14ac:dyDescent="0.25">
      <c r="A104" s="494"/>
      <c r="B104" s="494"/>
      <c r="C104" s="494"/>
      <c r="D104" s="494"/>
      <c r="E104" s="494"/>
      <c r="F104" s="494"/>
      <c r="G104" s="494"/>
      <c r="H104" s="494"/>
      <c r="I104" s="494"/>
      <c r="J104" s="494"/>
      <c r="K104" s="494"/>
      <c r="L104" s="494"/>
      <c r="M104" s="494"/>
      <c r="N104" s="494"/>
      <c r="O104" s="494"/>
      <c r="P104" s="494"/>
      <c r="Q104" s="494"/>
      <c r="R104" s="494"/>
      <c r="S104" s="494"/>
      <c r="T104" s="494"/>
      <c r="U104" s="494"/>
      <c r="V104" s="494"/>
      <c r="W104" s="494"/>
      <c r="X104" s="494"/>
      <c r="Y104" s="494"/>
      <c r="Z104" s="494"/>
      <c r="AA104" s="494"/>
      <c r="AB104" s="494"/>
      <c r="AC104" s="494"/>
      <c r="AD104" s="494"/>
      <c r="AE104" s="494"/>
      <c r="AF104" s="494"/>
      <c r="AG104" s="494"/>
      <c r="AH104" s="264"/>
      <c r="AI104" s="264"/>
      <c r="AJ104" s="264"/>
      <c r="AK104" s="264"/>
      <c r="AL104" s="494"/>
      <c r="AM104" s="494"/>
      <c r="AN104" s="494"/>
    </row>
    <row r="105" spans="1:40" s="244" customFormat="1" ht="15" x14ac:dyDescent="0.25">
      <c r="A105" s="494"/>
      <c r="B105" s="494"/>
      <c r="C105" s="494"/>
      <c r="D105" s="494"/>
      <c r="E105" s="494"/>
      <c r="F105" s="494"/>
      <c r="G105" s="494"/>
      <c r="H105" s="494"/>
      <c r="I105" s="494"/>
      <c r="J105" s="494"/>
      <c r="K105" s="494"/>
      <c r="L105" s="494"/>
      <c r="M105" s="494"/>
      <c r="N105" s="494"/>
      <c r="O105" s="494"/>
      <c r="P105" s="494"/>
      <c r="Q105" s="494"/>
      <c r="R105" s="494"/>
      <c r="S105" s="494"/>
      <c r="T105" s="494"/>
      <c r="U105" s="494"/>
      <c r="V105" s="494"/>
      <c r="W105" s="494"/>
      <c r="X105" s="494"/>
      <c r="Y105" s="494"/>
      <c r="Z105" s="494"/>
      <c r="AA105" s="494"/>
      <c r="AB105" s="494"/>
      <c r="AC105" s="494"/>
      <c r="AD105" s="494"/>
      <c r="AE105" s="494"/>
      <c r="AF105" s="494"/>
      <c r="AG105" s="494"/>
      <c r="AH105" s="264"/>
      <c r="AI105" s="264"/>
      <c r="AJ105" s="264"/>
      <c r="AK105" s="264"/>
      <c r="AL105" s="494"/>
      <c r="AM105" s="494"/>
      <c r="AN105" s="494"/>
    </row>
    <row r="106" spans="1:40" s="244" customFormat="1" ht="15" x14ac:dyDescent="0.25">
      <c r="A106" s="494"/>
      <c r="B106" s="494"/>
      <c r="C106" s="494"/>
      <c r="D106" s="494"/>
      <c r="E106" s="494"/>
      <c r="F106" s="494"/>
      <c r="G106" s="494"/>
      <c r="H106" s="494"/>
      <c r="I106" s="494"/>
      <c r="J106" s="494"/>
      <c r="K106" s="494"/>
      <c r="L106" s="494"/>
      <c r="M106" s="494"/>
      <c r="N106" s="494"/>
      <c r="O106" s="494"/>
      <c r="P106" s="494"/>
      <c r="Q106" s="494"/>
      <c r="R106" s="494"/>
      <c r="S106" s="494"/>
      <c r="T106" s="494"/>
      <c r="U106" s="494"/>
      <c r="V106" s="494"/>
      <c r="W106" s="494"/>
      <c r="X106" s="494"/>
      <c r="Y106" s="494"/>
      <c r="Z106" s="494"/>
      <c r="AA106" s="494"/>
      <c r="AB106" s="494"/>
      <c r="AC106" s="494"/>
      <c r="AD106" s="494"/>
      <c r="AE106" s="494"/>
      <c r="AF106" s="494"/>
      <c r="AG106" s="494"/>
      <c r="AH106" s="264"/>
      <c r="AI106" s="264"/>
      <c r="AJ106" s="264"/>
      <c r="AK106" s="264"/>
      <c r="AL106" s="494"/>
      <c r="AM106" s="494"/>
      <c r="AN106" s="494"/>
    </row>
    <row r="107" spans="1:40" s="244" customFormat="1" ht="15" x14ac:dyDescent="0.25">
      <c r="A107" s="494"/>
      <c r="B107" s="494"/>
      <c r="C107" s="494"/>
      <c r="D107" s="494"/>
      <c r="E107" s="494"/>
      <c r="F107" s="494"/>
      <c r="G107" s="494"/>
      <c r="H107" s="494"/>
      <c r="I107" s="494"/>
      <c r="J107" s="494"/>
      <c r="K107" s="494"/>
      <c r="L107" s="494"/>
      <c r="M107" s="494"/>
      <c r="N107" s="494"/>
      <c r="O107" s="494"/>
      <c r="P107" s="494"/>
      <c r="Q107" s="494"/>
      <c r="R107" s="494"/>
      <c r="S107" s="494"/>
      <c r="T107" s="494"/>
      <c r="U107" s="494"/>
      <c r="V107" s="494"/>
      <c r="W107" s="494"/>
      <c r="X107" s="494"/>
      <c r="Y107" s="494"/>
      <c r="Z107" s="494"/>
      <c r="AA107" s="494"/>
      <c r="AB107" s="494"/>
      <c r="AC107" s="494"/>
      <c r="AD107" s="494"/>
      <c r="AE107" s="494"/>
      <c r="AF107" s="494"/>
      <c r="AG107" s="494"/>
      <c r="AH107" s="264"/>
      <c r="AI107" s="264"/>
      <c r="AJ107" s="264"/>
      <c r="AK107" s="264"/>
      <c r="AL107" s="494"/>
      <c r="AM107" s="494"/>
      <c r="AN107" s="494"/>
    </row>
    <row r="108" spans="1:40" s="244" customFormat="1" ht="15" x14ac:dyDescent="0.25">
      <c r="A108" s="494"/>
      <c r="B108" s="494"/>
      <c r="C108" s="494"/>
      <c r="D108" s="494"/>
      <c r="E108" s="494"/>
      <c r="F108" s="494"/>
      <c r="G108" s="494"/>
      <c r="H108" s="494"/>
      <c r="I108" s="494"/>
      <c r="J108" s="494"/>
      <c r="K108" s="494"/>
      <c r="L108" s="494"/>
      <c r="M108" s="494"/>
      <c r="N108" s="494"/>
      <c r="O108" s="494"/>
      <c r="P108" s="494"/>
      <c r="Q108" s="494"/>
      <c r="R108" s="494"/>
      <c r="S108" s="494"/>
      <c r="T108" s="494"/>
      <c r="U108" s="494"/>
      <c r="V108" s="494"/>
      <c r="W108" s="494"/>
      <c r="X108" s="494"/>
      <c r="Y108" s="494"/>
      <c r="Z108" s="494"/>
      <c r="AA108" s="494"/>
      <c r="AB108" s="494"/>
      <c r="AC108" s="494"/>
      <c r="AD108" s="494"/>
      <c r="AE108" s="494"/>
      <c r="AF108" s="494"/>
      <c r="AG108" s="494"/>
      <c r="AH108" s="264"/>
      <c r="AI108" s="264"/>
      <c r="AJ108" s="264"/>
      <c r="AK108" s="264"/>
      <c r="AL108" s="494"/>
      <c r="AM108" s="494"/>
      <c r="AN108" s="494"/>
    </row>
    <row r="109" spans="1:40" s="244" customFormat="1" ht="15" x14ac:dyDescent="0.25">
      <c r="A109" s="494"/>
      <c r="B109" s="494"/>
      <c r="C109" s="494"/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4"/>
      <c r="U109" s="494"/>
      <c r="V109" s="494"/>
      <c r="W109" s="494"/>
      <c r="X109" s="494"/>
      <c r="Y109" s="494"/>
      <c r="Z109" s="494"/>
      <c r="AA109" s="494"/>
      <c r="AB109" s="494"/>
      <c r="AC109" s="494"/>
      <c r="AD109" s="494"/>
      <c r="AE109" s="494"/>
      <c r="AF109" s="494"/>
      <c r="AG109" s="494"/>
      <c r="AH109" s="264"/>
      <c r="AI109" s="264"/>
      <c r="AJ109" s="264"/>
      <c r="AK109" s="264"/>
      <c r="AL109" s="494"/>
      <c r="AM109" s="494"/>
      <c r="AN109" s="494"/>
    </row>
    <row r="110" spans="1:40" s="244" customFormat="1" ht="15" x14ac:dyDescent="0.25">
      <c r="A110" s="494"/>
      <c r="B110" s="494"/>
      <c r="C110" s="494"/>
      <c r="D110" s="494"/>
      <c r="E110" s="494"/>
      <c r="F110" s="494"/>
      <c r="G110" s="494"/>
      <c r="H110" s="494"/>
      <c r="I110" s="494"/>
      <c r="J110" s="494"/>
      <c r="K110" s="494"/>
      <c r="L110" s="494"/>
      <c r="M110" s="494"/>
      <c r="N110" s="494"/>
      <c r="O110" s="494"/>
      <c r="P110" s="494"/>
      <c r="Q110" s="494"/>
      <c r="R110" s="494"/>
      <c r="S110" s="494"/>
      <c r="T110" s="494"/>
      <c r="U110" s="494"/>
      <c r="V110" s="494"/>
      <c r="W110" s="494"/>
      <c r="X110" s="494"/>
      <c r="Y110" s="494"/>
      <c r="Z110" s="494"/>
      <c r="AA110" s="494"/>
      <c r="AB110" s="494"/>
      <c r="AC110" s="494"/>
      <c r="AD110" s="494"/>
      <c r="AE110" s="494"/>
      <c r="AF110" s="494"/>
      <c r="AG110" s="494"/>
      <c r="AH110" s="264"/>
      <c r="AI110" s="264"/>
      <c r="AJ110" s="264"/>
      <c r="AK110" s="264"/>
      <c r="AL110" s="494"/>
      <c r="AM110" s="494"/>
      <c r="AN110" s="494"/>
    </row>
    <row r="111" spans="1:40" s="244" customFormat="1" ht="15" x14ac:dyDescent="0.25">
      <c r="A111" s="494"/>
      <c r="B111" s="494"/>
      <c r="C111" s="494"/>
      <c r="D111" s="494"/>
      <c r="E111" s="494"/>
      <c r="F111" s="494"/>
      <c r="G111" s="494"/>
      <c r="H111" s="494"/>
      <c r="I111" s="494"/>
      <c r="J111" s="494"/>
      <c r="K111" s="494"/>
      <c r="L111" s="494"/>
      <c r="M111" s="494"/>
      <c r="N111" s="494"/>
      <c r="O111" s="494"/>
      <c r="P111" s="494"/>
      <c r="Q111" s="494"/>
      <c r="R111" s="494"/>
      <c r="S111" s="494"/>
      <c r="T111" s="494"/>
      <c r="U111" s="494"/>
      <c r="V111" s="494"/>
      <c r="W111" s="494"/>
      <c r="X111" s="494"/>
      <c r="Y111" s="494"/>
      <c r="Z111" s="494"/>
      <c r="AA111" s="494"/>
      <c r="AB111" s="494"/>
      <c r="AC111" s="494"/>
      <c r="AD111" s="494"/>
      <c r="AE111" s="494"/>
      <c r="AF111" s="494"/>
      <c r="AG111" s="494"/>
      <c r="AH111" s="264"/>
      <c r="AI111" s="264"/>
      <c r="AJ111" s="264"/>
      <c r="AK111" s="264"/>
      <c r="AL111" s="494"/>
      <c r="AM111" s="494"/>
      <c r="AN111" s="494"/>
    </row>
    <row r="112" spans="1:40" s="244" customFormat="1" ht="15" x14ac:dyDescent="0.25">
      <c r="A112" s="494"/>
      <c r="B112" s="494"/>
      <c r="C112" s="494"/>
      <c r="D112" s="494"/>
      <c r="E112" s="494"/>
      <c r="F112" s="494"/>
      <c r="G112" s="494"/>
      <c r="H112" s="494"/>
      <c r="I112" s="494"/>
      <c r="J112" s="494"/>
      <c r="K112" s="494"/>
      <c r="L112" s="494"/>
      <c r="M112" s="494"/>
      <c r="N112" s="494"/>
      <c r="O112" s="494"/>
      <c r="P112" s="494"/>
      <c r="Q112" s="494"/>
      <c r="R112" s="494"/>
      <c r="S112" s="494"/>
      <c r="T112" s="494"/>
      <c r="U112" s="494"/>
      <c r="V112" s="494"/>
      <c r="W112" s="494"/>
      <c r="X112" s="494"/>
      <c r="Y112" s="494"/>
      <c r="Z112" s="494"/>
      <c r="AA112" s="494"/>
      <c r="AB112" s="494"/>
      <c r="AC112" s="494"/>
      <c r="AD112" s="494"/>
      <c r="AE112" s="494"/>
      <c r="AF112" s="494"/>
      <c r="AG112" s="494"/>
      <c r="AH112" s="264"/>
      <c r="AI112" s="264"/>
      <c r="AJ112" s="264"/>
      <c r="AK112" s="264"/>
      <c r="AL112" s="494"/>
      <c r="AM112" s="494"/>
      <c r="AN112" s="494"/>
    </row>
    <row r="113" spans="1:40" s="244" customFormat="1" ht="15" x14ac:dyDescent="0.25">
      <c r="A113" s="494"/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494"/>
      <c r="AB113" s="494"/>
      <c r="AC113" s="494"/>
      <c r="AD113" s="494"/>
      <c r="AE113" s="494"/>
      <c r="AF113" s="494"/>
      <c r="AG113" s="494"/>
      <c r="AH113" s="264"/>
      <c r="AI113" s="264"/>
      <c r="AJ113" s="264"/>
      <c r="AK113" s="264"/>
      <c r="AL113" s="494"/>
      <c r="AM113" s="494"/>
      <c r="AN113" s="494"/>
    </row>
    <row r="114" spans="1:40" s="244" customFormat="1" ht="15" x14ac:dyDescent="0.25">
      <c r="A114" s="494"/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494"/>
      <c r="AB114" s="494"/>
      <c r="AC114" s="494"/>
      <c r="AD114" s="494"/>
      <c r="AE114" s="494"/>
      <c r="AF114" s="494"/>
      <c r="AG114" s="494"/>
      <c r="AH114" s="264"/>
      <c r="AI114" s="264"/>
      <c r="AJ114" s="264"/>
      <c r="AK114" s="264"/>
      <c r="AL114" s="494"/>
      <c r="AM114" s="494"/>
      <c r="AN114" s="494"/>
    </row>
    <row r="115" spans="1:40" s="244" customFormat="1" ht="15" x14ac:dyDescent="0.25">
      <c r="A115" s="494"/>
      <c r="B115" s="494"/>
      <c r="C115" s="494"/>
      <c r="D115" s="494"/>
      <c r="E115" s="494"/>
      <c r="F115" s="494"/>
      <c r="G115" s="494"/>
      <c r="H115" s="494"/>
      <c r="I115" s="494"/>
      <c r="J115" s="494"/>
      <c r="K115" s="494"/>
      <c r="L115" s="494"/>
      <c r="M115" s="494"/>
      <c r="N115" s="494"/>
      <c r="O115" s="494"/>
      <c r="P115" s="494"/>
      <c r="Q115" s="494"/>
      <c r="R115" s="494"/>
      <c r="S115" s="494"/>
      <c r="T115" s="494"/>
      <c r="U115" s="494"/>
      <c r="V115" s="494"/>
      <c r="W115" s="494"/>
      <c r="X115" s="494"/>
      <c r="Y115" s="494"/>
      <c r="Z115" s="494"/>
      <c r="AA115" s="494"/>
      <c r="AB115" s="494"/>
      <c r="AC115" s="494"/>
      <c r="AD115" s="494"/>
      <c r="AE115" s="494"/>
      <c r="AF115" s="494"/>
      <c r="AG115" s="494"/>
      <c r="AH115" s="264"/>
      <c r="AI115" s="264"/>
      <c r="AJ115" s="264"/>
      <c r="AK115" s="264"/>
      <c r="AL115" s="494"/>
      <c r="AM115" s="494"/>
      <c r="AN115" s="494"/>
    </row>
    <row r="116" spans="1:40" s="244" customFormat="1" ht="15" x14ac:dyDescent="0.25">
      <c r="A116" s="494"/>
      <c r="B116" s="494"/>
      <c r="C116" s="494"/>
      <c r="D116" s="494"/>
      <c r="E116" s="494"/>
      <c r="F116" s="494"/>
      <c r="G116" s="494"/>
      <c r="H116" s="494"/>
      <c r="I116" s="494"/>
      <c r="J116" s="494"/>
      <c r="K116" s="494"/>
      <c r="L116" s="494"/>
      <c r="M116" s="494"/>
      <c r="N116" s="494"/>
      <c r="O116" s="494"/>
      <c r="P116" s="494"/>
      <c r="Q116" s="494"/>
      <c r="R116" s="494"/>
      <c r="S116" s="494"/>
      <c r="T116" s="494"/>
      <c r="U116" s="494"/>
      <c r="V116" s="494"/>
      <c r="W116" s="494"/>
      <c r="X116" s="494"/>
      <c r="Y116" s="494"/>
      <c r="Z116" s="494"/>
      <c r="AA116" s="494"/>
      <c r="AB116" s="494"/>
      <c r="AC116" s="494"/>
      <c r="AD116" s="494"/>
      <c r="AE116" s="494"/>
      <c r="AF116" s="494"/>
      <c r="AG116" s="494"/>
      <c r="AH116" s="264"/>
      <c r="AI116" s="264"/>
      <c r="AJ116" s="264"/>
      <c r="AK116" s="264"/>
      <c r="AL116" s="494"/>
      <c r="AM116" s="494"/>
      <c r="AN116" s="494"/>
    </row>
    <row r="117" spans="1:40" s="244" customFormat="1" ht="15" x14ac:dyDescent="0.25">
      <c r="AH117" s="278"/>
      <c r="AI117" s="278"/>
      <c r="AJ117" s="278"/>
      <c r="AK117" s="278"/>
      <c r="AL117" s="278"/>
    </row>
    <row r="118" spans="1:40" s="244" customFormat="1" ht="15" x14ac:dyDescent="0.25">
      <c r="AH118" s="278"/>
      <c r="AI118" s="278"/>
      <c r="AJ118" s="278"/>
      <c r="AK118" s="278"/>
      <c r="AL118" s="278"/>
    </row>
    <row r="119" spans="1:40" s="244" customFormat="1" ht="15" x14ac:dyDescent="0.25">
      <c r="AH119" s="278"/>
      <c r="AI119" s="278"/>
      <c r="AJ119" s="278"/>
      <c r="AK119" s="278"/>
      <c r="AL119" s="278"/>
    </row>
    <row r="120" spans="1:40" s="244" customFormat="1" ht="15" x14ac:dyDescent="0.25">
      <c r="AH120" s="278"/>
      <c r="AI120" s="278"/>
      <c r="AJ120" s="278"/>
      <c r="AK120" s="278"/>
      <c r="AL120" s="278"/>
    </row>
    <row r="121" spans="1:40" s="244" customFormat="1" ht="15" x14ac:dyDescent="0.25">
      <c r="AH121" s="278"/>
      <c r="AI121" s="278"/>
      <c r="AJ121" s="278"/>
      <c r="AK121" s="278"/>
      <c r="AL121" s="278"/>
    </row>
    <row r="122" spans="1:40" ht="15" x14ac:dyDescent="0.25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78"/>
      <c r="AI122" s="278"/>
      <c r="AJ122" s="278"/>
      <c r="AK122" s="278"/>
      <c r="AL122" s="278"/>
      <c r="AM122" s="244"/>
      <c r="AN122" s="244"/>
    </row>
    <row r="123" spans="1:40" ht="15" x14ac:dyDescent="0.25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78"/>
      <c r="AI123" s="278"/>
      <c r="AJ123" s="278"/>
      <c r="AK123" s="278"/>
      <c r="AL123" s="278"/>
      <c r="AM123" s="244"/>
      <c r="AN123" s="244"/>
    </row>
    <row r="124" spans="1:40" ht="15" x14ac:dyDescent="0.25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78"/>
      <c r="AI124" s="278"/>
      <c r="AJ124" s="278"/>
      <c r="AK124" s="278"/>
      <c r="AL124" s="278"/>
      <c r="AM124" s="244"/>
      <c r="AN124" s="244"/>
    </row>
    <row r="125" spans="1:40" ht="15" x14ac:dyDescent="0.25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78"/>
      <c r="AI125" s="278"/>
      <c r="AJ125" s="278"/>
      <c r="AK125" s="278"/>
      <c r="AL125" s="278"/>
      <c r="AM125" s="244"/>
      <c r="AN125" s="244"/>
    </row>
    <row r="126" spans="1:40" ht="15" x14ac:dyDescent="0.25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78"/>
      <c r="AI126" s="278"/>
      <c r="AJ126" s="278"/>
      <c r="AK126" s="278"/>
      <c r="AL126" s="278"/>
      <c r="AM126" s="244"/>
      <c r="AN126" s="244"/>
    </row>
    <row r="127" spans="1:40" ht="15" x14ac:dyDescent="0.25">
      <c r="A127" s="244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78"/>
      <c r="AI127" s="278"/>
      <c r="AJ127" s="278"/>
      <c r="AK127" s="278"/>
      <c r="AL127" s="278"/>
      <c r="AM127" s="244"/>
      <c r="AN127" s="244"/>
    </row>
    <row r="128" spans="1:40" ht="15" x14ac:dyDescent="0.25">
      <c r="A128" s="244"/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78"/>
      <c r="AI128" s="278"/>
      <c r="AJ128" s="278"/>
      <c r="AK128" s="278"/>
      <c r="AL128" s="278"/>
      <c r="AM128" s="244"/>
      <c r="AN128" s="244"/>
    </row>
  </sheetData>
  <mergeCells count="8">
    <mergeCell ref="A3:B3"/>
    <mergeCell ref="A7:C7"/>
    <mergeCell ref="G1:I1"/>
    <mergeCell ref="G3:I3"/>
    <mergeCell ref="G2:I2"/>
    <mergeCell ref="D1:F1"/>
    <mergeCell ref="D2:F2"/>
    <mergeCell ref="D3:F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9E1E-9EF3-4A19-A65A-C7996325EE5E}">
  <dimension ref="A1:AG135"/>
  <sheetViews>
    <sheetView workbookViewId="0">
      <pane xSplit="2" topLeftCell="C1" activePane="topRight" state="frozen"/>
      <selection pane="topRight" activeCell="A7" sqref="A7:B7"/>
    </sheetView>
  </sheetViews>
  <sheetFormatPr defaultColWidth="8.85546875" defaultRowHeight="12.75" x14ac:dyDescent="0.2"/>
  <cols>
    <col min="1" max="1" width="5.42578125" customWidth="1"/>
    <col min="2" max="2" width="21.28515625" customWidth="1"/>
    <col min="3" max="3" width="21.42578125" customWidth="1"/>
    <col min="4" max="4" width="22.85546875" customWidth="1"/>
    <col min="5" max="5" width="14.85546875" customWidth="1"/>
    <col min="6" max="6" width="3.5703125" customWidth="1"/>
    <col min="7" max="12" width="7.7109375" customWidth="1"/>
    <col min="13" max="13" width="2.85546875" customWidth="1"/>
    <col min="17" max="17" width="2.85546875" customWidth="1"/>
    <col min="24" max="24" width="2.85546875" customWidth="1"/>
    <col min="25" max="25" width="7.140625" customWidth="1"/>
    <col min="26" max="26" width="8" customWidth="1"/>
    <col min="27" max="27" width="7" customWidth="1"/>
    <col min="29" max="29" width="2.85546875" customWidth="1"/>
    <col min="30" max="30" width="2.7109375" customWidth="1"/>
  </cols>
  <sheetData>
    <row r="1" spans="1:33" s="244" customFormat="1" ht="15.75" x14ac:dyDescent="0.25">
      <c r="A1" s="52" t="str">
        <f>CompDetail!A1</f>
        <v>NSW State Championships</v>
      </c>
      <c r="B1" s="3"/>
      <c r="C1" s="155"/>
      <c r="D1" s="156" t="s">
        <v>144</v>
      </c>
      <c r="E1" s="243" t="s">
        <v>256</v>
      </c>
      <c r="F1" s="523"/>
      <c r="G1" s="523"/>
      <c r="H1" s="523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</row>
    <row r="2" spans="1:33" s="244" customFormat="1" ht="15.75" x14ac:dyDescent="0.25">
      <c r="A2" s="53"/>
      <c r="B2" s="3"/>
      <c r="C2" s="162"/>
      <c r="D2" s="156"/>
      <c r="E2" s="243" t="s">
        <v>257</v>
      </c>
      <c r="F2" s="523"/>
      <c r="G2" s="523"/>
      <c r="H2" s="523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</row>
    <row r="3" spans="1:33" s="244" customFormat="1" ht="15.75" x14ac:dyDescent="0.25">
      <c r="A3" s="520" t="str">
        <f>CompDetail!A3</f>
        <v>June 9 to 11 2018</v>
      </c>
      <c r="B3" s="521"/>
      <c r="C3" s="487"/>
      <c r="D3" s="488"/>
      <c r="E3" s="243" t="s">
        <v>258</v>
      </c>
      <c r="F3" s="523"/>
      <c r="G3" s="523"/>
      <c r="H3" s="523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</row>
    <row r="4" spans="1:33" s="244" customFormat="1" ht="15.75" x14ac:dyDescent="0.25">
      <c r="A4" s="246"/>
      <c r="B4" s="247"/>
      <c r="C4" s="248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</row>
    <row r="5" spans="1:33" s="244" customFormat="1" ht="15" x14ac:dyDescent="0.25">
      <c r="C5" s="494"/>
      <c r="D5" s="494"/>
      <c r="E5" s="494"/>
      <c r="F5" s="230"/>
      <c r="G5" s="251" t="s">
        <v>20</v>
      </c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338"/>
      <c r="Z5" s="338"/>
      <c r="AA5" s="338"/>
      <c r="AB5" s="338"/>
      <c r="AC5" s="494"/>
      <c r="AD5" s="494"/>
      <c r="AE5" s="494"/>
    </row>
    <row r="6" spans="1:33" s="244" customFormat="1" ht="15.75" x14ac:dyDescent="0.25">
      <c r="A6" s="493"/>
      <c r="B6" s="252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</row>
    <row r="7" spans="1:33" s="244" customFormat="1" ht="15.75" x14ac:dyDescent="0.25">
      <c r="A7" s="522" t="s">
        <v>241</v>
      </c>
      <c r="B7" s="522"/>
      <c r="C7" s="494"/>
      <c r="D7" s="494"/>
      <c r="E7" s="494"/>
      <c r="F7" s="494"/>
      <c r="G7" s="245" t="s">
        <v>58</v>
      </c>
      <c r="H7" s="494" t="str">
        <f>E1</f>
        <v>R Bruderer</v>
      </c>
      <c r="I7" s="245"/>
      <c r="J7" s="245"/>
      <c r="K7" s="245"/>
      <c r="L7" s="245"/>
      <c r="M7" s="245"/>
      <c r="N7" s="245" t="s">
        <v>57</v>
      </c>
      <c r="O7" s="494" t="str">
        <f>E2</f>
        <v>A Deeks</v>
      </c>
      <c r="P7" s="494"/>
      <c r="Q7" s="494"/>
      <c r="R7" s="245" t="s">
        <v>59</v>
      </c>
      <c r="S7" s="494" t="str">
        <f>E3</f>
        <v>J Scott</v>
      </c>
      <c r="T7" s="494"/>
      <c r="U7" s="494"/>
      <c r="V7" s="494"/>
      <c r="W7" s="494"/>
      <c r="X7" s="245"/>
      <c r="Y7" s="245"/>
      <c r="Z7" s="245"/>
      <c r="AA7" s="245"/>
      <c r="AB7" s="494"/>
      <c r="AC7" s="494"/>
      <c r="AD7" s="494"/>
      <c r="AE7" s="494"/>
    </row>
    <row r="8" spans="1:33" s="244" customFormat="1" ht="15.75" x14ac:dyDescent="0.25">
      <c r="A8" s="493" t="s">
        <v>64</v>
      </c>
      <c r="B8" s="493" t="s">
        <v>240</v>
      </c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</row>
    <row r="9" spans="1:33" s="244" customFormat="1" ht="15" x14ac:dyDescent="0.25">
      <c r="A9" s="494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257"/>
      <c r="N9" s="245" t="s">
        <v>22</v>
      </c>
      <c r="O9" s="494"/>
      <c r="P9" s="258" t="s">
        <v>22</v>
      </c>
      <c r="Q9" s="257"/>
      <c r="R9" s="245" t="s">
        <v>23</v>
      </c>
      <c r="S9" s="494"/>
      <c r="T9" s="494"/>
      <c r="U9" s="494"/>
      <c r="V9" s="494"/>
      <c r="W9" s="494"/>
      <c r="X9" s="257"/>
      <c r="Y9" s="264"/>
      <c r="Z9" s="264"/>
      <c r="AA9" s="264"/>
      <c r="AB9" s="245"/>
      <c r="AC9" s="257"/>
      <c r="AD9" s="256"/>
      <c r="AE9" s="494"/>
    </row>
    <row r="10" spans="1:33" s="244" customFormat="1" ht="15" x14ac:dyDescent="0.25">
      <c r="A10" s="253" t="s">
        <v>33</v>
      </c>
      <c r="B10" s="253" t="s">
        <v>34</v>
      </c>
      <c r="C10" s="253" t="s">
        <v>35</v>
      </c>
      <c r="D10" s="253" t="s">
        <v>36</v>
      </c>
      <c r="E10" s="253" t="s">
        <v>66</v>
      </c>
      <c r="F10" s="254"/>
      <c r="G10" s="253" t="s">
        <v>35</v>
      </c>
      <c r="H10" s="253"/>
      <c r="I10" s="253"/>
      <c r="J10" s="253"/>
      <c r="K10" s="253"/>
      <c r="L10" s="253"/>
      <c r="M10" s="254"/>
      <c r="N10" s="259" t="s">
        <v>45</v>
      </c>
      <c r="O10" s="260" t="s">
        <v>19</v>
      </c>
      <c r="P10" s="261" t="s">
        <v>24</v>
      </c>
      <c r="Q10" s="254"/>
      <c r="R10" s="524"/>
      <c r="S10" s="524"/>
      <c r="T10" s="494"/>
      <c r="U10" s="494"/>
      <c r="V10" s="494"/>
      <c r="W10" s="494"/>
      <c r="X10" s="254"/>
      <c r="Y10" s="255"/>
      <c r="Z10" s="255"/>
      <c r="AA10" s="255"/>
      <c r="AB10" s="258" t="s">
        <v>41</v>
      </c>
      <c r="AC10" s="254"/>
      <c r="AD10" s="256"/>
      <c r="AE10" s="256" t="s">
        <v>44</v>
      </c>
    </row>
    <row r="11" spans="1:33" s="244" customFormat="1" ht="15" x14ac:dyDescent="0.25">
      <c r="A11" s="494"/>
      <c r="B11" s="494"/>
      <c r="C11" s="494"/>
      <c r="D11" s="494"/>
      <c r="E11" s="494"/>
      <c r="F11" s="257"/>
      <c r="G11" s="262" t="s">
        <v>7</v>
      </c>
      <c r="H11" s="262" t="s">
        <v>8</v>
      </c>
      <c r="I11" s="262" t="s">
        <v>9</v>
      </c>
      <c r="J11" s="262" t="s">
        <v>10</v>
      </c>
      <c r="K11" s="262" t="s">
        <v>11</v>
      </c>
      <c r="L11" s="262" t="s">
        <v>35</v>
      </c>
      <c r="M11" s="257"/>
      <c r="N11" s="265"/>
      <c r="O11" s="262" t="s">
        <v>18</v>
      </c>
      <c r="P11" s="291"/>
      <c r="Q11" s="257"/>
      <c r="R11" s="262" t="s">
        <v>12</v>
      </c>
      <c r="S11" s="262" t="s">
        <v>13</v>
      </c>
      <c r="T11" s="262" t="s">
        <v>14</v>
      </c>
      <c r="U11" s="262" t="s">
        <v>15</v>
      </c>
      <c r="V11" s="262" t="s">
        <v>16</v>
      </c>
      <c r="W11" s="262" t="s">
        <v>42</v>
      </c>
      <c r="X11" s="257"/>
      <c r="Y11" s="264" t="s">
        <v>101</v>
      </c>
      <c r="Z11" s="264" t="s">
        <v>102</v>
      </c>
      <c r="AA11" s="264" t="s">
        <v>103</v>
      </c>
      <c r="AB11" s="261"/>
      <c r="AC11" s="257"/>
      <c r="AD11" s="494"/>
      <c r="AE11" s="494"/>
    </row>
    <row r="12" spans="1:33" s="244" customFormat="1" ht="15.75" x14ac:dyDescent="0.25">
      <c r="A12" s="294">
        <v>1</v>
      </c>
      <c r="B12" s="293" t="s">
        <v>145</v>
      </c>
      <c r="C12" s="290"/>
      <c r="D12" s="290"/>
      <c r="E12" s="290"/>
      <c r="F12" s="257"/>
      <c r="G12" s="288"/>
      <c r="H12" s="288"/>
      <c r="I12" s="288"/>
      <c r="J12" s="288"/>
      <c r="K12" s="288"/>
      <c r="L12" s="288"/>
      <c r="M12" s="257"/>
      <c r="N12" s="270"/>
      <c r="O12" s="270"/>
      <c r="P12" s="270"/>
      <c r="Q12" s="271"/>
      <c r="R12" s="270"/>
      <c r="S12" s="270"/>
      <c r="T12" s="270"/>
      <c r="U12" s="270"/>
      <c r="V12" s="270"/>
      <c r="W12" s="269"/>
      <c r="X12" s="257"/>
      <c r="Y12" s="266"/>
      <c r="Z12" s="266"/>
      <c r="AA12" s="266"/>
      <c r="AB12" s="270"/>
      <c r="AC12" s="257"/>
      <c r="AD12" s="269"/>
      <c r="AE12" s="288"/>
    </row>
    <row r="13" spans="1:33" s="244" customFormat="1" ht="15.75" x14ac:dyDescent="0.25">
      <c r="A13" s="294">
        <v>2</v>
      </c>
      <c r="B13" s="293" t="s">
        <v>146</v>
      </c>
      <c r="C13" s="290"/>
      <c r="D13" s="290"/>
      <c r="E13" s="290"/>
      <c r="F13" s="257"/>
      <c r="G13" s="288"/>
      <c r="H13" s="288"/>
      <c r="I13" s="288"/>
      <c r="J13" s="288"/>
      <c r="K13" s="288"/>
      <c r="L13" s="288"/>
      <c r="M13" s="257"/>
      <c r="N13" s="288"/>
      <c r="O13" s="288"/>
      <c r="P13" s="288"/>
      <c r="Q13" s="257"/>
      <c r="R13" s="288"/>
      <c r="S13" s="288"/>
      <c r="T13" s="288"/>
      <c r="U13" s="288"/>
      <c r="V13" s="288"/>
      <c r="W13" s="288"/>
      <c r="X13" s="257"/>
      <c r="Y13" s="266"/>
      <c r="Z13" s="266"/>
      <c r="AA13" s="266"/>
      <c r="AB13" s="288"/>
      <c r="AC13" s="257"/>
      <c r="AD13" s="288"/>
      <c r="AE13" s="288"/>
    </row>
    <row r="14" spans="1:33" s="244" customFormat="1" ht="15.75" x14ac:dyDescent="0.25">
      <c r="A14" s="294">
        <v>3</v>
      </c>
      <c r="B14" s="293" t="s">
        <v>147</v>
      </c>
      <c r="C14" s="290"/>
      <c r="D14" s="290"/>
      <c r="E14" s="290"/>
      <c r="F14" s="257"/>
      <c r="G14" s="288"/>
      <c r="H14" s="288"/>
      <c r="I14" s="288"/>
      <c r="J14" s="288"/>
      <c r="K14" s="288"/>
      <c r="L14" s="288"/>
      <c r="M14" s="257"/>
      <c r="N14" s="288"/>
      <c r="O14" s="288"/>
      <c r="P14" s="288"/>
      <c r="Q14" s="257"/>
      <c r="R14" s="288"/>
      <c r="S14" s="288"/>
      <c r="T14" s="288"/>
      <c r="U14" s="288"/>
      <c r="V14" s="288"/>
      <c r="W14" s="288"/>
      <c r="X14" s="257"/>
      <c r="Y14" s="266"/>
      <c r="Z14" s="266"/>
      <c r="AA14" s="266"/>
      <c r="AB14" s="288"/>
      <c r="AC14" s="257"/>
      <c r="AD14" s="288"/>
      <c r="AE14" s="288"/>
    </row>
    <row r="15" spans="1:33" s="244" customFormat="1" ht="15.75" x14ac:dyDescent="0.25">
      <c r="A15" s="294">
        <v>4</v>
      </c>
      <c r="B15" s="293" t="s">
        <v>148</v>
      </c>
      <c r="C15" s="290"/>
      <c r="D15" s="290"/>
      <c r="E15" s="290"/>
      <c r="F15" s="257"/>
      <c r="G15" s="288"/>
      <c r="H15" s="288"/>
      <c r="I15" s="288"/>
      <c r="J15" s="288"/>
      <c r="K15" s="288"/>
      <c r="L15" s="288"/>
      <c r="M15" s="257"/>
      <c r="N15" s="288"/>
      <c r="O15" s="288"/>
      <c r="P15" s="288"/>
      <c r="Q15" s="257"/>
      <c r="R15" s="288"/>
      <c r="S15" s="288"/>
      <c r="T15" s="288"/>
      <c r="U15" s="288"/>
      <c r="V15" s="288"/>
      <c r="W15" s="288"/>
      <c r="X15" s="257"/>
      <c r="Y15" s="266"/>
      <c r="Z15" s="266"/>
      <c r="AA15" s="266"/>
      <c r="AB15" s="288"/>
      <c r="AC15" s="257"/>
      <c r="AD15" s="288"/>
      <c r="AE15" s="288"/>
    </row>
    <row r="16" spans="1:33" s="244" customFormat="1" ht="15.75" x14ac:dyDescent="0.25">
      <c r="A16" s="294">
        <v>5</v>
      </c>
      <c r="B16" s="293" t="s">
        <v>149</v>
      </c>
      <c r="C16" s="290"/>
      <c r="D16" s="290"/>
      <c r="E16" s="290"/>
      <c r="F16" s="257"/>
      <c r="G16" s="288"/>
      <c r="H16" s="288"/>
      <c r="I16" s="288"/>
      <c r="J16" s="288"/>
      <c r="K16" s="288"/>
      <c r="L16" s="288"/>
      <c r="M16" s="257"/>
      <c r="N16" s="288"/>
      <c r="O16" s="288"/>
      <c r="P16" s="288"/>
      <c r="Q16" s="257"/>
      <c r="R16" s="288"/>
      <c r="S16" s="288"/>
      <c r="T16" s="288"/>
      <c r="U16" s="288"/>
      <c r="V16" s="288"/>
      <c r="W16" s="288"/>
      <c r="X16" s="257"/>
      <c r="Y16" s="266"/>
      <c r="Z16" s="266"/>
      <c r="AA16" s="266"/>
      <c r="AB16" s="288"/>
      <c r="AC16" s="257"/>
      <c r="AD16" s="288"/>
      <c r="AE16" s="288"/>
    </row>
    <row r="17" spans="1:31" s="244" customFormat="1" ht="15.75" x14ac:dyDescent="0.25">
      <c r="A17" s="294">
        <v>6</v>
      </c>
      <c r="B17" s="293" t="s">
        <v>150</v>
      </c>
      <c r="C17" s="290"/>
      <c r="D17" s="290"/>
      <c r="E17" s="290"/>
      <c r="F17" s="257"/>
      <c r="G17" s="288"/>
      <c r="H17" s="288"/>
      <c r="I17" s="288"/>
      <c r="J17" s="288"/>
      <c r="K17" s="288"/>
      <c r="L17" s="288"/>
      <c r="M17" s="257"/>
      <c r="N17" s="288"/>
      <c r="O17" s="288"/>
      <c r="P17" s="288"/>
      <c r="Q17" s="257"/>
      <c r="R17" s="288"/>
      <c r="S17" s="288"/>
      <c r="T17" s="288"/>
      <c r="U17" s="288"/>
      <c r="V17" s="288"/>
      <c r="W17" s="288"/>
      <c r="X17" s="257"/>
      <c r="Y17" s="266"/>
      <c r="Z17" s="266"/>
      <c r="AA17" s="266"/>
      <c r="AB17" s="288"/>
      <c r="AC17" s="257"/>
      <c r="AD17" s="288"/>
      <c r="AE17" s="288"/>
    </row>
    <row r="18" spans="1:31" s="244" customFormat="1" ht="15.75" x14ac:dyDescent="0.25">
      <c r="A18" s="295"/>
      <c r="B18" s="291"/>
      <c r="C18" s="296" t="s">
        <v>151</v>
      </c>
      <c r="D18" s="296" t="s">
        <v>152</v>
      </c>
      <c r="E18" s="296" t="s">
        <v>153</v>
      </c>
      <c r="F18" s="297"/>
      <c r="G18" s="509">
        <v>7</v>
      </c>
      <c r="H18" s="509">
        <v>6.5</v>
      </c>
      <c r="I18" s="509">
        <v>6</v>
      </c>
      <c r="J18" s="509">
        <v>7</v>
      </c>
      <c r="K18" s="509">
        <v>8.5</v>
      </c>
      <c r="L18" s="301">
        <f>SUM((G18*0.1),(H18*0.1),(I18*0.3),(J18*0.3),(K18*0.2))</f>
        <v>6.95</v>
      </c>
      <c r="M18" s="299"/>
      <c r="N18" s="300">
        <f>10-58/31</f>
        <v>8.129032258064516</v>
      </c>
      <c r="O18" s="300"/>
      <c r="P18" s="301">
        <f>N18-O18</f>
        <v>8.129032258064516</v>
      </c>
      <c r="Q18" s="302"/>
      <c r="R18" s="300">
        <v>8</v>
      </c>
      <c r="S18" s="300">
        <v>8</v>
      </c>
      <c r="T18" s="300">
        <v>7.5</v>
      </c>
      <c r="U18" s="300">
        <v>8.5</v>
      </c>
      <c r="V18" s="300">
        <v>7</v>
      </c>
      <c r="W18" s="301">
        <f>SUM((R18*0.25),(S18*0.25),(T18*0.2),(U18*0.2),(V18*0.1))</f>
        <v>7.9</v>
      </c>
      <c r="X18" s="299"/>
      <c r="Y18" s="405">
        <f>L18</f>
        <v>6.95</v>
      </c>
      <c r="Z18" s="405">
        <f>P18</f>
        <v>8.129032258064516</v>
      </c>
      <c r="AA18" s="405">
        <f>W18</f>
        <v>7.9</v>
      </c>
      <c r="AB18" s="301">
        <f>SUM(L18*0.25)+(P18*0.375)+(W18*0.375)</f>
        <v>7.7483870967741941</v>
      </c>
      <c r="AC18" s="303"/>
      <c r="AD18" s="304"/>
      <c r="AE18" s="305">
        <v>1</v>
      </c>
    </row>
    <row r="19" spans="1:31" s="278" customFormat="1" ht="15.75" x14ac:dyDescent="0.25">
      <c r="A19" s="294">
        <v>1</v>
      </c>
      <c r="B19" s="293" t="s">
        <v>133</v>
      </c>
      <c r="C19" s="290"/>
      <c r="D19" s="290"/>
      <c r="E19" s="293" t="s">
        <v>141</v>
      </c>
      <c r="F19" s="257"/>
      <c r="G19" s="270"/>
      <c r="H19" s="270"/>
      <c r="I19" s="270"/>
      <c r="J19" s="270"/>
      <c r="K19" s="270"/>
      <c r="L19" s="269"/>
      <c r="M19" s="257"/>
      <c r="N19" s="270"/>
      <c r="O19" s="270"/>
      <c r="P19" s="270"/>
      <c r="Q19" s="271"/>
      <c r="R19" s="270"/>
      <c r="S19" s="270"/>
      <c r="T19" s="270"/>
      <c r="U19" s="270"/>
      <c r="V19" s="270"/>
      <c r="W19" s="269"/>
      <c r="X19" s="257"/>
      <c r="Y19" s="266"/>
      <c r="Z19" s="266"/>
      <c r="AA19" s="266"/>
      <c r="AB19" s="270"/>
      <c r="AC19" s="257"/>
      <c r="AD19" s="269"/>
      <c r="AE19" s="288"/>
    </row>
    <row r="20" spans="1:31" s="278" customFormat="1" ht="15.75" x14ac:dyDescent="0.25">
      <c r="A20" s="294">
        <v>2</v>
      </c>
      <c r="B20" s="293" t="s">
        <v>135</v>
      </c>
      <c r="C20" s="290"/>
      <c r="D20" s="290"/>
      <c r="E20" s="293" t="s">
        <v>116</v>
      </c>
      <c r="F20" s="257"/>
      <c r="G20" s="270"/>
      <c r="H20" s="270"/>
      <c r="I20" s="270"/>
      <c r="J20" s="270"/>
      <c r="K20" s="270"/>
      <c r="L20" s="269"/>
      <c r="M20" s="257"/>
      <c r="N20" s="288"/>
      <c r="O20" s="288"/>
      <c r="P20" s="288"/>
      <c r="Q20" s="257"/>
      <c r="R20" s="288"/>
      <c r="S20" s="288"/>
      <c r="T20" s="288"/>
      <c r="U20" s="288"/>
      <c r="V20" s="288"/>
      <c r="W20" s="288"/>
      <c r="X20" s="257"/>
      <c r="Y20" s="266"/>
      <c r="Z20" s="266"/>
      <c r="AA20" s="266"/>
      <c r="AB20" s="288"/>
      <c r="AC20" s="257"/>
      <c r="AD20" s="288"/>
      <c r="AE20" s="288"/>
    </row>
    <row r="21" spans="1:31" s="278" customFormat="1" ht="15.75" x14ac:dyDescent="0.25">
      <c r="A21" s="294">
        <v>3</v>
      </c>
      <c r="B21" s="293" t="s">
        <v>157</v>
      </c>
      <c r="C21" s="290"/>
      <c r="D21" s="290"/>
      <c r="E21" s="290"/>
      <c r="F21" s="257"/>
      <c r="G21" s="270"/>
      <c r="H21" s="270"/>
      <c r="I21" s="270"/>
      <c r="J21" s="270"/>
      <c r="K21" s="270"/>
      <c r="L21" s="269"/>
      <c r="M21" s="257"/>
      <c r="N21" s="288"/>
      <c r="O21" s="288"/>
      <c r="P21" s="288"/>
      <c r="Q21" s="257"/>
      <c r="R21" s="288"/>
      <c r="S21" s="288"/>
      <c r="T21" s="288"/>
      <c r="U21" s="288"/>
      <c r="V21" s="288"/>
      <c r="W21" s="288"/>
      <c r="X21" s="257"/>
      <c r="Y21" s="266"/>
      <c r="Z21" s="266"/>
      <c r="AA21" s="266"/>
      <c r="AB21" s="288"/>
      <c r="AC21" s="257"/>
      <c r="AD21" s="288"/>
      <c r="AE21" s="288"/>
    </row>
    <row r="22" spans="1:31" s="278" customFormat="1" ht="15.75" x14ac:dyDescent="0.25">
      <c r="A22" s="294">
        <v>4</v>
      </c>
      <c r="B22" s="293" t="s">
        <v>136</v>
      </c>
      <c r="C22" s="290"/>
      <c r="D22" s="290"/>
      <c r="E22" s="290"/>
      <c r="F22" s="257"/>
      <c r="G22" s="270"/>
      <c r="H22" s="270"/>
      <c r="I22" s="270"/>
      <c r="J22" s="270"/>
      <c r="K22" s="270"/>
      <c r="L22" s="269"/>
      <c r="M22" s="257"/>
      <c r="N22" s="288"/>
      <c r="O22" s="288"/>
      <c r="P22" s="288"/>
      <c r="Q22" s="257"/>
      <c r="R22" s="288"/>
      <c r="S22" s="288"/>
      <c r="T22" s="288"/>
      <c r="U22" s="288"/>
      <c r="V22" s="288"/>
      <c r="W22" s="288"/>
      <c r="X22" s="257"/>
      <c r="Y22" s="266"/>
      <c r="Z22" s="266"/>
      <c r="AA22" s="266"/>
      <c r="AB22" s="288"/>
      <c r="AC22" s="257"/>
      <c r="AD22" s="288"/>
      <c r="AE22" s="288"/>
    </row>
    <row r="23" spans="1:31" s="278" customFormat="1" ht="15.75" x14ac:dyDescent="0.25">
      <c r="A23" s="294">
        <v>5</v>
      </c>
      <c r="B23" s="293" t="s">
        <v>134</v>
      </c>
      <c r="C23" s="290"/>
      <c r="D23" s="290"/>
      <c r="E23" s="290"/>
      <c r="F23" s="257"/>
      <c r="G23" s="270"/>
      <c r="H23" s="270"/>
      <c r="I23" s="270"/>
      <c r="J23" s="270"/>
      <c r="K23" s="270"/>
      <c r="L23" s="269"/>
      <c r="M23" s="257"/>
      <c r="N23" s="288"/>
      <c r="O23" s="288"/>
      <c r="P23" s="288"/>
      <c r="Q23" s="257"/>
      <c r="R23" s="288"/>
      <c r="S23" s="288"/>
      <c r="T23" s="288"/>
      <c r="U23" s="288"/>
      <c r="V23" s="288"/>
      <c r="W23" s="288"/>
      <c r="X23" s="257"/>
      <c r="Y23" s="266"/>
      <c r="Z23" s="266"/>
      <c r="AA23" s="266"/>
      <c r="AB23" s="288"/>
      <c r="AC23" s="257"/>
      <c r="AD23" s="288"/>
      <c r="AE23" s="288"/>
    </row>
    <row r="24" spans="1:31" s="278" customFormat="1" ht="15" customHeight="1" x14ac:dyDescent="0.25">
      <c r="A24" s="294">
        <v>6</v>
      </c>
      <c r="B24" s="293" t="s">
        <v>158</v>
      </c>
      <c r="C24" s="290"/>
      <c r="D24" s="290"/>
      <c r="E24" s="290"/>
      <c r="F24" s="257"/>
      <c r="G24" s="270"/>
      <c r="H24" s="270"/>
      <c r="I24" s="270"/>
      <c r="J24" s="270"/>
      <c r="K24" s="270"/>
      <c r="L24" s="269"/>
      <c r="M24" s="257"/>
      <c r="N24" s="288"/>
      <c r="O24" s="288"/>
      <c r="P24" s="288"/>
      <c r="Q24" s="257"/>
      <c r="R24" s="288"/>
      <c r="S24" s="288"/>
      <c r="T24" s="288"/>
      <c r="U24" s="288"/>
      <c r="V24" s="288"/>
      <c r="W24" s="288"/>
      <c r="X24" s="257"/>
      <c r="Y24" s="266"/>
      <c r="Z24" s="266"/>
      <c r="AA24" s="266"/>
      <c r="AB24" s="288"/>
      <c r="AC24" s="257"/>
      <c r="AD24" s="288"/>
      <c r="AE24" s="288"/>
    </row>
    <row r="25" spans="1:31" s="244" customFormat="1" ht="15.75" x14ac:dyDescent="0.25">
      <c r="A25" s="295"/>
      <c r="B25" s="291"/>
      <c r="C25" s="296" t="s">
        <v>114</v>
      </c>
      <c r="D25" s="296" t="s">
        <v>115</v>
      </c>
      <c r="E25" s="291" t="s">
        <v>143</v>
      </c>
      <c r="F25" s="297"/>
      <c r="G25" s="509">
        <v>5.8</v>
      </c>
      <c r="H25" s="509">
        <v>6</v>
      </c>
      <c r="I25" s="509">
        <v>6</v>
      </c>
      <c r="J25" s="509">
        <v>7.3</v>
      </c>
      <c r="K25" s="509">
        <v>7.8</v>
      </c>
      <c r="L25" s="301">
        <f>SUM((G25*0.1),(H25*0.1),(I25*0.3),(J25*0.3),(K25*0.2))</f>
        <v>6.73</v>
      </c>
      <c r="M25" s="299"/>
      <c r="N25" s="300">
        <f>10-102/36</f>
        <v>7.1666666666666661</v>
      </c>
      <c r="O25" s="300"/>
      <c r="P25" s="301">
        <f>N25-O25</f>
        <v>7.1666666666666661</v>
      </c>
      <c r="Q25" s="302"/>
      <c r="R25" s="300">
        <v>6.5</v>
      </c>
      <c r="S25" s="300">
        <v>6.5</v>
      </c>
      <c r="T25" s="300">
        <v>6.8</v>
      </c>
      <c r="U25" s="300">
        <v>5</v>
      </c>
      <c r="V25" s="300">
        <v>5.5</v>
      </c>
      <c r="W25" s="301">
        <f>SUM((R25*0.25),(S25*0.25),(T25*0.2),(U25*0.2),(V25*0.1))</f>
        <v>6.16</v>
      </c>
      <c r="X25" s="299"/>
      <c r="Y25" s="405">
        <f>L25</f>
        <v>6.73</v>
      </c>
      <c r="Z25" s="405">
        <f>P25</f>
        <v>7.1666666666666661</v>
      </c>
      <c r="AA25" s="405">
        <f>W25</f>
        <v>6.16</v>
      </c>
      <c r="AB25" s="301">
        <f>SUM(L25*0.25)+(P25*0.375)+(W25*0.375)</f>
        <v>6.68</v>
      </c>
      <c r="AC25" s="303"/>
      <c r="AD25" s="304"/>
      <c r="AE25" s="305">
        <v>2</v>
      </c>
    </row>
    <row r="26" spans="1:31" s="278" customFormat="1" ht="15.75" x14ac:dyDescent="0.25">
      <c r="A26" s="294">
        <v>1</v>
      </c>
      <c r="B26" s="293" t="s">
        <v>124</v>
      </c>
      <c r="C26" s="290"/>
      <c r="D26" s="290"/>
      <c r="E26" s="290"/>
      <c r="F26" s="257"/>
      <c r="G26" s="270"/>
      <c r="H26" s="270"/>
      <c r="I26" s="270"/>
      <c r="J26" s="270"/>
      <c r="K26" s="270"/>
      <c r="L26" s="269"/>
      <c r="M26" s="257"/>
      <c r="N26" s="270"/>
      <c r="O26" s="270"/>
      <c r="P26" s="270"/>
      <c r="Q26" s="271"/>
      <c r="R26" s="270"/>
      <c r="S26" s="270"/>
      <c r="T26" s="270"/>
      <c r="U26" s="270"/>
      <c r="V26" s="270"/>
      <c r="W26" s="269"/>
      <c r="X26" s="257"/>
      <c r="Y26" s="266"/>
      <c r="Z26" s="266"/>
      <c r="AA26" s="266"/>
      <c r="AB26" s="270"/>
      <c r="AC26" s="257"/>
      <c r="AD26" s="269"/>
      <c r="AE26" s="288"/>
    </row>
    <row r="27" spans="1:31" s="278" customFormat="1" ht="15.75" x14ac:dyDescent="0.25">
      <c r="A27" s="294">
        <v>2</v>
      </c>
      <c r="B27" s="293" t="s">
        <v>129</v>
      </c>
      <c r="C27" s="290"/>
      <c r="D27" s="290"/>
      <c r="E27" s="290"/>
      <c r="F27" s="257"/>
      <c r="G27" s="270"/>
      <c r="H27" s="270"/>
      <c r="I27" s="270"/>
      <c r="J27" s="270"/>
      <c r="K27" s="270"/>
      <c r="L27" s="269"/>
      <c r="M27" s="257"/>
      <c r="N27" s="288"/>
      <c r="O27" s="288"/>
      <c r="P27" s="288"/>
      <c r="Q27" s="257"/>
      <c r="R27" s="288"/>
      <c r="S27" s="288"/>
      <c r="T27" s="288"/>
      <c r="U27" s="288"/>
      <c r="V27" s="288"/>
      <c r="W27" s="288"/>
      <c r="X27" s="257"/>
      <c r="Y27" s="266"/>
      <c r="Z27" s="266"/>
      <c r="AA27" s="266"/>
      <c r="AB27" s="288"/>
      <c r="AC27" s="257"/>
      <c r="AD27" s="288"/>
      <c r="AE27" s="288"/>
    </row>
    <row r="28" spans="1:31" s="278" customFormat="1" ht="15.75" x14ac:dyDescent="0.25">
      <c r="A28" s="294">
        <v>3</v>
      </c>
      <c r="B28" s="293" t="s">
        <v>125</v>
      </c>
      <c r="C28" s="290"/>
      <c r="D28" s="290"/>
      <c r="E28" s="290"/>
      <c r="F28" s="257"/>
      <c r="G28" s="270"/>
      <c r="H28" s="270"/>
      <c r="I28" s="270"/>
      <c r="J28" s="270"/>
      <c r="K28" s="270"/>
      <c r="L28" s="269"/>
      <c r="M28" s="257"/>
      <c r="N28" s="288"/>
      <c r="O28" s="288"/>
      <c r="P28" s="288"/>
      <c r="Q28" s="257"/>
      <c r="R28" s="288"/>
      <c r="S28" s="288"/>
      <c r="T28" s="288"/>
      <c r="U28" s="288"/>
      <c r="V28" s="288"/>
      <c r="W28" s="288"/>
      <c r="X28" s="257"/>
      <c r="Y28" s="266"/>
      <c r="Z28" s="266"/>
      <c r="AA28" s="266"/>
      <c r="AB28" s="288"/>
      <c r="AC28" s="257"/>
      <c r="AD28" s="288"/>
      <c r="AE28" s="288"/>
    </row>
    <row r="29" spans="1:31" s="278" customFormat="1" ht="15.75" x14ac:dyDescent="0.25">
      <c r="A29" s="294">
        <v>4</v>
      </c>
      <c r="B29" s="293" t="s">
        <v>127</v>
      </c>
      <c r="C29" s="290"/>
      <c r="D29" s="290"/>
      <c r="E29" s="290"/>
      <c r="F29" s="257"/>
      <c r="G29" s="270"/>
      <c r="H29" s="270"/>
      <c r="I29" s="270"/>
      <c r="J29" s="270"/>
      <c r="K29" s="270"/>
      <c r="L29" s="269"/>
      <c r="M29" s="257"/>
      <c r="N29" s="288"/>
      <c r="O29" s="288"/>
      <c r="P29" s="288"/>
      <c r="Q29" s="257"/>
      <c r="R29" s="288"/>
      <c r="S29" s="288"/>
      <c r="T29" s="288"/>
      <c r="U29" s="288"/>
      <c r="V29" s="288"/>
      <c r="W29" s="288"/>
      <c r="X29" s="257"/>
      <c r="Y29" s="266"/>
      <c r="Z29" s="266"/>
      <c r="AA29" s="266"/>
      <c r="AB29" s="288"/>
      <c r="AC29" s="257"/>
      <c r="AD29" s="288"/>
      <c r="AE29" s="288"/>
    </row>
    <row r="30" spans="1:31" s="278" customFormat="1" ht="15.75" x14ac:dyDescent="0.25">
      <c r="A30" s="294">
        <v>5</v>
      </c>
      <c r="B30" s="293" t="s">
        <v>128</v>
      </c>
      <c r="C30" s="290"/>
      <c r="D30" s="290"/>
      <c r="E30" s="290"/>
      <c r="F30" s="257"/>
      <c r="G30" s="270"/>
      <c r="H30" s="270"/>
      <c r="I30" s="270"/>
      <c r="J30" s="270"/>
      <c r="K30" s="270"/>
      <c r="L30" s="269"/>
      <c r="M30" s="257"/>
      <c r="N30" s="288"/>
      <c r="O30" s="288"/>
      <c r="P30" s="288"/>
      <c r="Q30" s="257"/>
      <c r="R30" s="288"/>
      <c r="S30" s="288"/>
      <c r="T30" s="288"/>
      <c r="U30" s="288"/>
      <c r="V30" s="288"/>
      <c r="W30" s="288"/>
      <c r="X30" s="257"/>
      <c r="Y30" s="266"/>
      <c r="Z30" s="266"/>
      <c r="AA30" s="266"/>
      <c r="AB30" s="288"/>
      <c r="AC30" s="257"/>
      <c r="AD30" s="288"/>
      <c r="AE30" s="288"/>
    </row>
    <row r="31" spans="1:31" s="278" customFormat="1" ht="15.75" x14ac:dyDescent="0.25">
      <c r="A31" s="294">
        <v>6</v>
      </c>
      <c r="B31" s="293" t="s">
        <v>154</v>
      </c>
      <c r="C31" s="290"/>
      <c r="D31" s="290"/>
      <c r="E31" s="290"/>
      <c r="F31" s="257"/>
      <c r="G31" s="270"/>
      <c r="H31" s="270"/>
      <c r="I31" s="270"/>
      <c r="J31" s="270"/>
      <c r="K31" s="270"/>
      <c r="L31" s="269"/>
      <c r="M31" s="257"/>
      <c r="N31" s="288"/>
      <c r="O31" s="288"/>
      <c r="P31" s="288"/>
      <c r="Q31" s="257"/>
      <c r="R31" s="288"/>
      <c r="S31" s="288"/>
      <c r="T31" s="288"/>
      <c r="U31" s="288"/>
      <c r="V31" s="288"/>
      <c r="W31" s="288"/>
      <c r="X31" s="257"/>
      <c r="Y31" s="266"/>
      <c r="Z31" s="266"/>
      <c r="AA31" s="266"/>
      <c r="AB31" s="288"/>
      <c r="AC31" s="257"/>
      <c r="AD31" s="288"/>
      <c r="AE31" s="288"/>
    </row>
    <row r="32" spans="1:31" s="278" customFormat="1" ht="15.75" x14ac:dyDescent="0.25">
      <c r="A32" s="295"/>
      <c r="B32" s="296" t="s">
        <v>155</v>
      </c>
      <c r="C32" s="296" t="s">
        <v>156</v>
      </c>
      <c r="D32" s="296" t="s">
        <v>126</v>
      </c>
      <c r="E32" s="296" t="s">
        <v>132</v>
      </c>
      <c r="F32" s="297"/>
      <c r="G32" s="509">
        <v>5.3</v>
      </c>
      <c r="H32" s="509">
        <v>5.5</v>
      </c>
      <c r="I32" s="509">
        <v>5</v>
      </c>
      <c r="J32" s="509">
        <v>7</v>
      </c>
      <c r="K32" s="509">
        <v>7.2</v>
      </c>
      <c r="L32" s="301">
        <f>SUM((G32*0.1),(H32*0.1),(I32*0.3),(J32*0.3),(K32*0.2))</f>
        <v>6.12</v>
      </c>
      <c r="M32" s="299"/>
      <c r="N32" s="300">
        <f>10-76/28</f>
        <v>7.2857142857142856</v>
      </c>
      <c r="O32" s="300">
        <v>0.4</v>
      </c>
      <c r="P32" s="301">
        <f>N32-O32</f>
        <v>6.8857142857142852</v>
      </c>
      <c r="Q32" s="302"/>
      <c r="R32" s="300">
        <v>6</v>
      </c>
      <c r="S32" s="300">
        <v>6.2</v>
      </c>
      <c r="T32" s="300">
        <v>5.5</v>
      </c>
      <c r="U32" s="300">
        <v>6</v>
      </c>
      <c r="V32" s="300">
        <v>5</v>
      </c>
      <c r="W32" s="301">
        <f>SUM((R32*0.25),(S32*0.25),(T32*0.2),(U32*0.2),(V32*0.1))</f>
        <v>5.8500000000000005</v>
      </c>
      <c r="X32" s="299"/>
      <c r="Y32" s="405">
        <f>L32</f>
        <v>6.12</v>
      </c>
      <c r="Z32" s="405">
        <f>P32</f>
        <v>6.8857142857142852</v>
      </c>
      <c r="AA32" s="405">
        <f>W32</f>
        <v>5.8500000000000005</v>
      </c>
      <c r="AB32" s="301">
        <f>SUM(L32*0.25)+(P32*0.375)+(W32*0.375)</f>
        <v>6.3058928571428563</v>
      </c>
      <c r="AC32" s="303"/>
      <c r="AD32" s="304"/>
      <c r="AE32" s="305">
        <v>3</v>
      </c>
    </row>
    <row r="33" spans="1:31" s="244" customFormat="1" ht="15" x14ac:dyDescent="0.25">
      <c r="A33" s="276"/>
      <c r="B33" s="277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</row>
    <row r="34" spans="1:31" s="244" customFormat="1" ht="15" x14ac:dyDescent="0.25">
      <c r="A34" s="279"/>
      <c r="B34" s="231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</row>
    <row r="35" spans="1:31" s="244" customFormat="1" ht="15" x14ac:dyDescent="0.25">
      <c r="A35" s="279"/>
      <c r="B35" s="231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</row>
    <row r="36" spans="1:31" s="244" customFormat="1" ht="15" x14ac:dyDescent="0.25">
      <c r="A36" s="279"/>
      <c r="B36" s="231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</row>
    <row r="37" spans="1:31" s="244" customFormat="1" ht="15" x14ac:dyDescent="0.25">
      <c r="A37" s="279"/>
      <c r="B37" s="231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</row>
    <row r="38" spans="1:31" s="244" customFormat="1" ht="15" x14ac:dyDescent="0.25">
      <c r="A38" s="279"/>
      <c r="B38" s="231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</row>
    <row r="39" spans="1:31" s="244" customFormat="1" ht="15" x14ac:dyDescent="0.25">
      <c r="A39" s="279"/>
      <c r="B39" s="231"/>
      <c r="C39" s="231"/>
      <c r="D39" s="231"/>
      <c r="E39" s="231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</row>
    <row r="40" spans="1:31" s="244" customFormat="1" ht="15" x14ac:dyDescent="0.25">
      <c r="A40" s="279"/>
      <c r="B40" s="231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</row>
    <row r="41" spans="1:31" s="244" customFormat="1" ht="15" x14ac:dyDescent="0.25">
      <c r="A41" s="279"/>
      <c r="B41" s="231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</row>
    <row r="42" spans="1:31" s="244" customFormat="1" ht="15" x14ac:dyDescent="0.25">
      <c r="A42" s="279"/>
      <c r="B42" s="231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</row>
    <row r="43" spans="1:31" s="244" customFormat="1" ht="15" x14ac:dyDescent="0.25">
      <c r="A43" s="279"/>
      <c r="B43" s="231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</row>
    <row r="44" spans="1:31" s="244" customFormat="1" ht="15" x14ac:dyDescent="0.25">
      <c r="A44" s="279"/>
      <c r="B44" s="231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</row>
    <row r="45" spans="1:31" s="244" customFormat="1" ht="15" x14ac:dyDescent="0.25">
      <c r="A45" s="279"/>
      <c r="B45" s="231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</row>
    <row r="46" spans="1:31" s="244" customFormat="1" ht="15" x14ac:dyDescent="0.25">
      <c r="A46" s="494"/>
      <c r="B46" s="494"/>
      <c r="C46"/>
      <c r="D46"/>
      <c r="E46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</row>
    <row r="47" spans="1:31" s="244" customFormat="1" ht="15" x14ac:dyDescent="0.25">
      <c r="A47" s="494"/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</row>
    <row r="48" spans="1:31" s="244" customFormat="1" ht="15" x14ac:dyDescent="0.25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</row>
    <row r="49" spans="1:31" s="244" customFormat="1" ht="15" x14ac:dyDescent="0.25">
      <c r="A49" s="494"/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494"/>
    </row>
    <row r="50" spans="1:31" s="244" customFormat="1" ht="15" x14ac:dyDescent="0.25">
      <c r="A50" s="494"/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</row>
    <row r="51" spans="1:31" s="244" customFormat="1" ht="15" x14ac:dyDescent="0.25">
      <c r="A51" s="494"/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494"/>
      <c r="Z51" s="494"/>
      <c r="AA51" s="494"/>
      <c r="AB51" s="494"/>
      <c r="AC51" s="494"/>
      <c r="AD51" s="494"/>
      <c r="AE51" s="494"/>
    </row>
    <row r="52" spans="1:31" s="244" customFormat="1" ht="15" x14ac:dyDescent="0.25">
      <c r="A52" s="494"/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494"/>
      <c r="X52" s="494"/>
      <c r="Y52" s="494"/>
      <c r="Z52" s="494"/>
      <c r="AA52" s="494"/>
      <c r="AB52" s="494"/>
      <c r="AC52" s="494"/>
      <c r="AD52" s="494"/>
      <c r="AE52" s="494"/>
    </row>
    <row r="53" spans="1:31" s="244" customFormat="1" ht="15" x14ac:dyDescent="0.25">
      <c r="A53" s="494"/>
      <c r="B53" s="494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4"/>
      <c r="AA53" s="494"/>
      <c r="AB53" s="494"/>
      <c r="AC53" s="494"/>
      <c r="AD53" s="494"/>
      <c r="AE53" s="494"/>
    </row>
    <row r="54" spans="1:31" s="244" customFormat="1" ht="15" x14ac:dyDescent="0.25">
      <c r="A54" s="494"/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</row>
    <row r="55" spans="1:31" s="244" customFormat="1" ht="15" x14ac:dyDescent="0.25">
      <c r="A55" s="494"/>
      <c r="B55" s="494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</row>
    <row r="56" spans="1:31" s="244" customFormat="1" ht="15" x14ac:dyDescent="0.25">
      <c r="A56" s="494"/>
      <c r="B56" s="494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</row>
    <row r="57" spans="1:31" s="244" customFormat="1" ht="15" x14ac:dyDescent="0.25">
      <c r="A57" s="494"/>
      <c r="B57" s="494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494"/>
      <c r="Z57" s="494"/>
      <c r="AA57" s="494"/>
      <c r="AB57" s="494"/>
      <c r="AC57" s="494"/>
      <c r="AD57" s="494"/>
      <c r="AE57" s="494"/>
    </row>
    <row r="58" spans="1:31" s="244" customFormat="1" ht="15" x14ac:dyDescent="0.25">
      <c r="A58" s="494"/>
      <c r="B58" s="494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</row>
    <row r="59" spans="1:31" s="244" customFormat="1" ht="15" x14ac:dyDescent="0.25">
      <c r="A59" s="494"/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</row>
    <row r="60" spans="1:31" s="244" customFormat="1" ht="15" x14ac:dyDescent="0.25">
      <c r="A60" s="494"/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</row>
    <row r="61" spans="1:31" s="244" customFormat="1" ht="15" x14ac:dyDescent="0.25">
      <c r="A61" s="494"/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</row>
    <row r="62" spans="1:31" s="244" customFormat="1" ht="15" x14ac:dyDescent="0.25">
      <c r="A62" s="494"/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494"/>
    </row>
    <row r="63" spans="1:31" s="244" customFormat="1" ht="15" x14ac:dyDescent="0.25">
      <c r="A63" s="494"/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494"/>
      <c r="AC63" s="494"/>
      <c r="AD63" s="494"/>
      <c r="AE63" s="494"/>
    </row>
    <row r="64" spans="1:31" s="244" customFormat="1" ht="15" x14ac:dyDescent="0.25">
      <c r="A64" s="494"/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494"/>
    </row>
    <row r="65" spans="1:31" s="244" customFormat="1" ht="15" x14ac:dyDescent="0.25">
      <c r="A65" s="494"/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</row>
    <row r="66" spans="1:31" s="244" customFormat="1" ht="15" x14ac:dyDescent="0.25">
      <c r="A66" s="494"/>
      <c r="B66" s="494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</row>
    <row r="67" spans="1:31" s="244" customFormat="1" ht="15" x14ac:dyDescent="0.25">
      <c r="A67" s="494"/>
      <c r="B67" s="494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494"/>
      <c r="AB67" s="494"/>
      <c r="AC67" s="494"/>
      <c r="AD67" s="494"/>
      <c r="AE67" s="494"/>
    </row>
    <row r="68" spans="1:31" s="244" customFormat="1" ht="15" x14ac:dyDescent="0.25">
      <c r="A68" s="494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</row>
    <row r="69" spans="1:31" s="244" customFormat="1" ht="15" x14ac:dyDescent="0.25">
      <c r="A69" s="494"/>
      <c r="B69" s="494"/>
      <c r="C69" s="494"/>
      <c r="D69" s="494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4"/>
      <c r="V69" s="494"/>
      <c r="W69" s="494"/>
      <c r="X69" s="494"/>
      <c r="Y69" s="494"/>
      <c r="Z69" s="494"/>
      <c r="AA69" s="494"/>
      <c r="AB69" s="494"/>
      <c r="AC69" s="494"/>
      <c r="AD69" s="494"/>
      <c r="AE69" s="494"/>
    </row>
    <row r="70" spans="1:31" s="244" customFormat="1" ht="15" x14ac:dyDescent="0.25">
      <c r="A70" s="494"/>
      <c r="B70" s="494"/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4"/>
      <c r="V70" s="494"/>
      <c r="W70" s="494"/>
      <c r="X70" s="494"/>
      <c r="Y70" s="494"/>
      <c r="Z70" s="494"/>
      <c r="AA70" s="494"/>
      <c r="AB70" s="494"/>
      <c r="AC70" s="494"/>
      <c r="AD70" s="494"/>
      <c r="AE70" s="494"/>
    </row>
    <row r="71" spans="1:31" s="244" customFormat="1" ht="15" x14ac:dyDescent="0.25">
      <c r="A71" s="494"/>
      <c r="B71" s="494"/>
      <c r="C71" s="494"/>
      <c r="D71" s="494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4"/>
      <c r="V71" s="494"/>
      <c r="W71" s="494"/>
      <c r="X71" s="494"/>
      <c r="Y71" s="494"/>
      <c r="Z71" s="494"/>
      <c r="AA71" s="494"/>
      <c r="AB71" s="494"/>
      <c r="AC71" s="494"/>
      <c r="AD71" s="494"/>
      <c r="AE71" s="494"/>
    </row>
    <row r="72" spans="1:31" s="244" customFormat="1" ht="15" x14ac:dyDescent="0.25">
      <c r="A72" s="494"/>
      <c r="B72" s="494"/>
      <c r="C72" s="494"/>
      <c r="D72" s="494"/>
      <c r="E72" s="494"/>
      <c r="F72" s="494"/>
      <c r="G72" s="494"/>
      <c r="H72" s="494"/>
      <c r="I72" s="494"/>
      <c r="J72" s="494"/>
      <c r="K72" s="494"/>
      <c r="L72" s="494"/>
      <c r="M72" s="494"/>
      <c r="N72" s="494"/>
      <c r="O72" s="494"/>
      <c r="P72" s="494"/>
      <c r="Q72" s="494"/>
      <c r="R72" s="494"/>
      <c r="S72" s="494"/>
      <c r="T72" s="494"/>
      <c r="U72" s="494"/>
      <c r="V72" s="494"/>
      <c r="W72" s="494"/>
      <c r="X72" s="494"/>
      <c r="Y72" s="494"/>
      <c r="Z72" s="494"/>
      <c r="AA72" s="494"/>
      <c r="AB72" s="494"/>
      <c r="AC72" s="494"/>
      <c r="AD72" s="494"/>
      <c r="AE72" s="494"/>
    </row>
    <row r="73" spans="1:31" s="244" customFormat="1" ht="15" x14ac:dyDescent="0.25">
      <c r="A73" s="494"/>
      <c r="B73" s="494"/>
      <c r="C73" s="494"/>
      <c r="D73" s="494"/>
      <c r="E73" s="494"/>
      <c r="F73" s="494"/>
      <c r="G73" s="494"/>
      <c r="H73" s="494"/>
      <c r="I73" s="494"/>
      <c r="J73" s="494"/>
      <c r="K73" s="494"/>
      <c r="L73" s="494"/>
      <c r="M73" s="494"/>
      <c r="N73" s="494"/>
      <c r="O73" s="494"/>
      <c r="P73" s="494"/>
      <c r="Q73" s="494"/>
      <c r="R73" s="494"/>
      <c r="S73" s="494"/>
      <c r="T73" s="494"/>
      <c r="U73" s="494"/>
      <c r="V73" s="494"/>
      <c r="W73" s="494"/>
      <c r="X73" s="494"/>
      <c r="Y73" s="494"/>
      <c r="Z73" s="494"/>
      <c r="AA73" s="494"/>
      <c r="AB73" s="494"/>
      <c r="AC73" s="494"/>
      <c r="AD73" s="494"/>
      <c r="AE73" s="494"/>
    </row>
    <row r="74" spans="1:31" s="244" customFormat="1" ht="15" x14ac:dyDescent="0.25">
      <c r="A74" s="494"/>
      <c r="B74" s="494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  <c r="R74" s="494"/>
      <c r="S74" s="494"/>
      <c r="T74" s="494"/>
      <c r="U74" s="494"/>
      <c r="V74" s="494"/>
      <c r="W74" s="494"/>
      <c r="X74" s="494"/>
      <c r="Y74" s="494"/>
      <c r="Z74" s="494"/>
      <c r="AA74" s="494"/>
      <c r="AB74" s="494"/>
      <c r="AC74" s="494"/>
      <c r="AD74" s="494"/>
      <c r="AE74" s="494"/>
    </row>
    <row r="75" spans="1:31" s="244" customFormat="1" ht="15" x14ac:dyDescent="0.25">
      <c r="A75" s="494"/>
      <c r="B75" s="494"/>
      <c r="C75" s="494"/>
      <c r="D75" s="494"/>
      <c r="E75" s="494"/>
      <c r="F75" s="494"/>
      <c r="G75" s="494"/>
      <c r="H75" s="494"/>
      <c r="I75" s="494"/>
      <c r="J75" s="494"/>
      <c r="K75" s="494"/>
      <c r="L75" s="494"/>
      <c r="M75" s="494"/>
      <c r="N75" s="494"/>
      <c r="O75" s="494"/>
      <c r="P75" s="494"/>
      <c r="Q75" s="494"/>
      <c r="R75" s="494"/>
      <c r="S75" s="494"/>
      <c r="T75" s="494"/>
      <c r="U75" s="494"/>
      <c r="V75" s="494"/>
      <c r="W75" s="494"/>
      <c r="X75" s="494"/>
      <c r="Y75" s="494"/>
      <c r="Z75" s="494"/>
      <c r="AA75" s="494"/>
      <c r="AB75" s="494"/>
      <c r="AC75" s="494"/>
      <c r="AD75" s="494"/>
      <c r="AE75" s="494"/>
    </row>
    <row r="76" spans="1:31" s="244" customFormat="1" ht="15" x14ac:dyDescent="0.25">
      <c r="A76" s="494"/>
      <c r="B76" s="494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  <c r="Y76" s="494"/>
      <c r="Z76" s="494"/>
      <c r="AA76" s="494"/>
      <c r="AB76" s="494"/>
      <c r="AC76" s="494"/>
      <c r="AD76" s="494"/>
      <c r="AE76" s="494"/>
    </row>
    <row r="77" spans="1:31" s="244" customFormat="1" ht="15" x14ac:dyDescent="0.25">
      <c r="A77" s="494"/>
      <c r="B77" s="494"/>
      <c r="C77" s="494"/>
      <c r="D77" s="494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  <c r="AA77" s="494"/>
      <c r="AB77" s="494"/>
      <c r="AC77" s="494"/>
      <c r="AD77" s="494"/>
      <c r="AE77" s="494"/>
    </row>
    <row r="78" spans="1:31" s="244" customFormat="1" ht="15" x14ac:dyDescent="0.25">
      <c r="A78" s="494"/>
      <c r="B78" s="494"/>
      <c r="C78" s="494"/>
      <c r="D78" s="494"/>
      <c r="E78" s="494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494"/>
      <c r="U78" s="494"/>
      <c r="V78" s="494"/>
      <c r="W78" s="494"/>
      <c r="X78" s="494"/>
      <c r="Y78" s="494"/>
      <c r="Z78" s="494"/>
      <c r="AA78" s="494"/>
      <c r="AB78" s="494"/>
      <c r="AC78" s="494"/>
      <c r="AD78" s="494"/>
      <c r="AE78" s="494"/>
    </row>
    <row r="79" spans="1:31" s="244" customFormat="1" ht="15" x14ac:dyDescent="0.25">
      <c r="A79" s="494"/>
      <c r="B79" s="494"/>
      <c r="C79" s="494"/>
      <c r="D79" s="494"/>
      <c r="E79" s="494"/>
      <c r="F79" s="494"/>
      <c r="G79" s="494"/>
      <c r="H79" s="494"/>
      <c r="I79" s="494"/>
      <c r="J79" s="494"/>
      <c r="K79" s="494"/>
      <c r="L79" s="494"/>
      <c r="M79" s="494"/>
      <c r="N79" s="494"/>
      <c r="O79" s="494"/>
      <c r="P79" s="494"/>
      <c r="Q79" s="494"/>
      <c r="R79" s="494"/>
      <c r="S79" s="494"/>
      <c r="T79" s="494"/>
      <c r="U79" s="494"/>
      <c r="V79" s="494"/>
      <c r="W79" s="494"/>
      <c r="X79" s="494"/>
      <c r="Y79" s="494"/>
      <c r="Z79" s="494"/>
      <c r="AA79" s="494"/>
      <c r="AB79" s="494"/>
      <c r="AC79" s="494"/>
      <c r="AD79" s="494"/>
      <c r="AE79" s="494"/>
    </row>
    <row r="80" spans="1:31" s="244" customFormat="1" ht="15" x14ac:dyDescent="0.25">
      <c r="A80" s="494"/>
      <c r="B80" s="494"/>
      <c r="C80" s="494"/>
      <c r="D80" s="494"/>
      <c r="E80" s="494"/>
      <c r="F80" s="494"/>
      <c r="G80" s="494"/>
      <c r="H80" s="494"/>
      <c r="I80" s="494"/>
      <c r="J80" s="494"/>
      <c r="K80" s="494"/>
      <c r="L80" s="494"/>
      <c r="M80" s="494"/>
      <c r="N80" s="494"/>
      <c r="O80" s="494"/>
      <c r="P80" s="494"/>
      <c r="Q80" s="494"/>
      <c r="R80" s="494"/>
      <c r="S80" s="494"/>
      <c r="T80" s="494"/>
      <c r="U80" s="494"/>
      <c r="V80" s="494"/>
      <c r="W80" s="494"/>
      <c r="X80" s="494"/>
      <c r="Y80" s="494"/>
      <c r="Z80" s="494"/>
      <c r="AA80" s="494"/>
      <c r="AB80" s="494"/>
      <c r="AC80" s="494"/>
      <c r="AD80" s="494"/>
      <c r="AE80" s="494"/>
    </row>
    <row r="81" spans="1:31" s="244" customFormat="1" ht="15" x14ac:dyDescent="0.25">
      <c r="A81" s="494"/>
      <c r="B81" s="494"/>
      <c r="C81" s="494"/>
      <c r="D81" s="494"/>
      <c r="E81" s="494"/>
      <c r="F81" s="494"/>
      <c r="G81" s="494"/>
      <c r="H81" s="494"/>
      <c r="I81" s="494"/>
      <c r="J81" s="494"/>
      <c r="K81" s="494"/>
      <c r="L81" s="494"/>
      <c r="M81" s="494"/>
      <c r="N81" s="494"/>
      <c r="O81" s="494"/>
      <c r="P81" s="494"/>
      <c r="Q81" s="494"/>
      <c r="R81" s="494"/>
      <c r="S81" s="494"/>
      <c r="T81" s="494"/>
      <c r="U81" s="494"/>
      <c r="V81" s="494"/>
      <c r="W81" s="494"/>
      <c r="X81" s="494"/>
      <c r="Y81" s="494"/>
      <c r="Z81" s="494"/>
      <c r="AA81" s="494"/>
      <c r="AB81" s="494"/>
      <c r="AC81" s="494"/>
      <c r="AD81" s="494"/>
      <c r="AE81" s="494"/>
    </row>
    <row r="82" spans="1:31" s="244" customFormat="1" ht="15" x14ac:dyDescent="0.25">
      <c r="A82" s="494"/>
      <c r="B82" s="494"/>
      <c r="C82" s="494"/>
      <c r="D82" s="494"/>
      <c r="E82" s="494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4"/>
      <c r="U82" s="494"/>
      <c r="V82" s="494"/>
      <c r="W82" s="494"/>
      <c r="X82" s="494"/>
      <c r="Y82" s="494"/>
      <c r="Z82" s="494"/>
      <c r="AA82" s="494"/>
      <c r="AB82" s="494"/>
      <c r="AC82" s="494"/>
      <c r="AD82" s="494"/>
      <c r="AE82" s="494"/>
    </row>
    <row r="83" spans="1:31" s="244" customFormat="1" ht="15" x14ac:dyDescent="0.25">
      <c r="A83" s="494"/>
      <c r="B83" s="494"/>
      <c r="C83" s="494"/>
      <c r="D83" s="494"/>
      <c r="E83" s="494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4"/>
      <c r="S83" s="494"/>
      <c r="T83" s="494"/>
      <c r="U83" s="494"/>
      <c r="V83" s="494"/>
      <c r="W83" s="494"/>
      <c r="X83" s="494"/>
      <c r="Y83" s="494"/>
      <c r="Z83" s="494"/>
      <c r="AA83" s="494"/>
      <c r="AB83" s="494"/>
      <c r="AC83" s="494"/>
      <c r="AD83" s="494"/>
      <c r="AE83" s="494"/>
    </row>
    <row r="84" spans="1:31" s="244" customFormat="1" ht="15" x14ac:dyDescent="0.25">
      <c r="A84" s="494"/>
      <c r="B84" s="494"/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4"/>
      <c r="P84" s="494"/>
      <c r="Q84" s="494"/>
      <c r="R84" s="494"/>
      <c r="S84" s="494"/>
      <c r="T84" s="494"/>
      <c r="U84" s="494"/>
      <c r="V84" s="494"/>
      <c r="W84" s="494"/>
      <c r="X84" s="494"/>
      <c r="Y84" s="494"/>
      <c r="Z84" s="494"/>
      <c r="AA84" s="494"/>
      <c r="AB84" s="494"/>
      <c r="AC84" s="494"/>
      <c r="AD84" s="494"/>
      <c r="AE84" s="494"/>
    </row>
    <row r="85" spans="1:31" s="244" customFormat="1" ht="15" x14ac:dyDescent="0.25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</row>
    <row r="86" spans="1:31" s="244" customFormat="1" ht="15" x14ac:dyDescent="0.25">
      <c r="A86" s="494"/>
      <c r="B86" s="494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4"/>
      <c r="AD86" s="494"/>
      <c r="AE86" s="494"/>
    </row>
    <row r="87" spans="1:31" s="244" customFormat="1" ht="15" x14ac:dyDescent="0.25">
      <c r="A87" s="494"/>
      <c r="B87" s="494"/>
      <c r="C87" s="494"/>
      <c r="D87" s="494"/>
      <c r="E87" s="494"/>
      <c r="F87" s="494"/>
      <c r="G87" s="494"/>
      <c r="H87" s="494"/>
      <c r="I87" s="494"/>
      <c r="J87" s="494"/>
      <c r="K87" s="494"/>
      <c r="L87" s="494"/>
      <c r="M87" s="494"/>
      <c r="N87" s="494"/>
      <c r="O87" s="494"/>
      <c r="P87" s="494"/>
      <c r="Q87" s="494"/>
      <c r="R87" s="494"/>
      <c r="S87" s="494"/>
      <c r="T87" s="494"/>
      <c r="U87" s="494"/>
      <c r="V87" s="494"/>
      <c r="W87" s="494"/>
      <c r="X87" s="494"/>
      <c r="Y87" s="494"/>
      <c r="Z87" s="494"/>
      <c r="AA87" s="494"/>
      <c r="AB87" s="494"/>
      <c r="AC87" s="494"/>
      <c r="AD87" s="494"/>
      <c r="AE87" s="494"/>
    </row>
    <row r="88" spans="1:31" s="244" customFormat="1" ht="15" x14ac:dyDescent="0.25">
      <c r="A88" s="494"/>
      <c r="B88" s="494"/>
      <c r="C88" s="494"/>
      <c r="D88" s="494"/>
      <c r="E88" s="494"/>
      <c r="F88" s="494"/>
      <c r="G88" s="494"/>
      <c r="H88" s="494"/>
      <c r="I88" s="494"/>
      <c r="J88" s="494"/>
      <c r="K88" s="494"/>
      <c r="L88" s="494"/>
      <c r="M88" s="494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  <c r="Y88" s="494"/>
      <c r="Z88" s="494"/>
      <c r="AA88" s="494"/>
      <c r="AB88" s="494"/>
      <c r="AC88" s="494"/>
      <c r="AD88" s="494"/>
      <c r="AE88" s="494"/>
    </row>
    <row r="89" spans="1:31" s="244" customFormat="1" ht="15" x14ac:dyDescent="0.25">
      <c r="A89" s="494"/>
      <c r="B89" s="494"/>
      <c r="C89" s="494"/>
      <c r="D89" s="494"/>
      <c r="E89" s="494"/>
      <c r="F89" s="494"/>
      <c r="G89" s="494"/>
      <c r="H89" s="494"/>
      <c r="I89" s="494"/>
      <c r="J89" s="494"/>
      <c r="K89" s="494"/>
      <c r="L89" s="494"/>
      <c r="M89" s="494"/>
      <c r="N89" s="494"/>
      <c r="O89" s="494"/>
      <c r="P89" s="494"/>
      <c r="Q89" s="494"/>
      <c r="R89" s="494"/>
      <c r="S89" s="494"/>
      <c r="T89" s="494"/>
      <c r="U89" s="494"/>
      <c r="V89" s="494"/>
      <c r="W89" s="494"/>
      <c r="X89" s="494"/>
      <c r="Y89" s="494"/>
      <c r="Z89" s="494"/>
      <c r="AA89" s="494"/>
      <c r="AB89" s="494"/>
      <c r="AC89" s="494"/>
      <c r="AD89" s="494"/>
      <c r="AE89" s="494"/>
    </row>
    <row r="90" spans="1:31" s="244" customFormat="1" ht="15" x14ac:dyDescent="0.25">
      <c r="A90" s="494"/>
      <c r="B90" s="494"/>
      <c r="C90" s="494"/>
      <c r="D90" s="494"/>
      <c r="E90" s="494"/>
      <c r="F90" s="494"/>
      <c r="G90" s="494"/>
      <c r="H90" s="494"/>
      <c r="I90" s="494"/>
      <c r="J90" s="494"/>
      <c r="K90" s="494"/>
      <c r="L90" s="494"/>
      <c r="M90" s="494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4"/>
      <c r="Y90" s="494"/>
      <c r="Z90" s="494"/>
      <c r="AA90" s="494"/>
      <c r="AB90" s="494"/>
      <c r="AC90" s="494"/>
      <c r="AD90" s="494"/>
      <c r="AE90" s="494"/>
    </row>
    <row r="91" spans="1:31" s="244" customFormat="1" ht="15" x14ac:dyDescent="0.25">
      <c r="A91" s="494"/>
      <c r="B91" s="494"/>
      <c r="C91" s="494"/>
      <c r="D91" s="494"/>
      <c r="E91" s="494"/>
      <c r="F91" s="494"/>
      <c r="G91" s="494"/>
      <c r="H91" s="494"/>
      <c r="I91" s="494"/>
      <c r="J91" s="494"/>
      <c r="K91" s="494"/>
      <c r="L91" s="494"/>
      <c r="M91" s="494"/>
      <c r="N91" s="494"/>
      <c r="O91" s="494"/>
      <c r="P91" s="494"/>
      <c r="Q91" s="494"/>
      <c r="R91" s="494"/>
      <c r="S91" s="494"/>
      <c r="T91" s="494"/>
      <c r="U91" s="494"/>
      <c r="V91" s="494"/>
      <c r="W91" s="494"/>
      <c r="X91" s="494"/>
      <c r="Y91" s="494"/>
      <c r="Z91" s="494"/>
      <c r="AA91" s="494"/>
      <c r="AB91" s="494"/>
      <c r="AC91" s="494"/>
      <c r="AD91" s="494"/>
      <c r="AE91" s="494"/>
    </row>
    <row r="92" spans="1:31" s="244" customFormat="1" ht="15" x14ac:dyDescent="0.25">
      <c r="A92" s="494"/>
      <c r="B92" s="494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4"/>
      <c r="X92" s="494"/>
      <c r="Y92" s="494"/>
      <c r="Z92" s="494"/>
      <c r="AA92" s="494"/>
      <c r="AB92" s="494"/>
      <c r="AC92" s="494"/>
      <c r="AD92" s="494"/>
      <c r="AE92" s="494"/>
    </row>
    <row r="93" spans="1:31" s="244" customFormat="1" ht="15" x14ac:dyDescent="0.25">
      <c r="A93" s="494"/>
      <c r="B93" s="494"/>
      <c r="C93" s="494"/>
      <c r="D93" s="494"/>
      <c r="E93" s="494"/>
      <c r="F93" s="494"/>
      <c r="G93" s="494"/>
      <c r="H93" s="494"/>
      <c r="I93" s="494"/>
      <c r="J93" s="494"/>
      <c r="K93" s="494"/>
      <c r="L93" s="494"/>
      <c r="M93" s="494"/>
      <c r="N93" s="494"/>
      <c r="O93" s="494"/>
      <c r="P93" s="494"/>
      <c r="Q93" s="494"/>
      <c r="R93" s="494"/>
      <c r="S93" s="494"/>
      <c r="T93" s="494"/>
      <c r="U93" s="494"/>
      <c r="V93" s="494"/>
      <c r="W93" s="494"/>
      <c r="X93" s="494"/>
      <c r="Y93" s="494"/>
      <c r="Z93" s="494"/>
      <c r="AA93" s="494"/>
      <c r="AB93" s="494"/>
      <c r="AC93" s="494"/>
      <c r="AD93" s="494"/>
      <c r="AE93" s="494"/>
    </row>
    <row r="94" spans="1:31" s="244" customFormat="1" ht="15" x14ac:dyDescent="0.25">
      <c r="A94" s="494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494"/>
      <c r="Y94" s="494"/>
      <c r="Z94" s="494"/>
      <c r="AA94" s="494"/>
      <c r="AB94" s="494"/>
      <c r="AC94" s="494"/>
      <c r="AD94" s="494"/>
      <c r="AE94" s="494"/>
    </row>
    <row r="95" spans="1:31" s="244" customFormat="1" ht="15" x14ac:dyDescent="0.25">
      <c r="A95" s="494"/>
      <c r="B95" s="494"/>
      <c r="C95" s="494"/>
      <c r="D95" s="494"/>
      <c r="E95" s="494"/>
      <c r="F95" s="494"/>
      <c r="G95" s="494"/>
      <c r="H95" s="494"/>
      <c r="I95" s="494"/>
      <c r="J95" s="494"/>
      <c r="K95" s="494"/>
      <c r="L95" s="494"/>
      <c r="M95" s="494"/>
      <c r="N95" s="494"/>
      <c r="O95" s="494"/>
      <c r="P95" s="494"/>
      <c r="Q95" s="494"/>
      <c r="R95" s="494"/>
      <c r="S95" s="494"/>
      <c r="T95" s="494"/>
      <c r="U95" s="494"/>
      <c r="V95" s="494"/>
      <c r="W95" s="494"/>
      <c r="X95" s="494"/>
      <c r="Y95" s="494"/>
      <c r="Z95" s="494"/>
      <c r="AA95" s="494"/>
      <c r="AB95" s="494"/>
      <c r="AC95" s="494"/>
      <c r="AD95" s="494"/>
      <c r="AE95" s="494"/>
    </row>
    <row r="96" spans="1:31" s="244" customFormat="1" ht="15" x14ac:dyDescent="0.25">
      <c r="A96" s="494"/>
      <c r="B96" s="494"/>
      <c r="C96" s="494"/>
      <c r="D96" s="494"/>
      <c r="E96" s="494"/>
      <c r="F96" s="494"/>
      <c r="G96" s="494"/>
      <c r="H96" s="494"/>
      <c r="I96" s="494"/>
      <c r="J96" s="494"/>
      <c r="K96" s="494"/>
      <c r="L96" s="494"/>
      <c r="M96" s="494"/>
      <c r="N96" s="494"/>
      <c r="O96" s="494"/>
      <c r="P96" s="494"/>
      <c r="Q96" s="494"/>
      <c r="R96" s="494"/>
      <c r="S96" s="494"/>
      <c r="T96" s="494"/>
      <c r="U96" s="494"/>
      <c r="V96" s="494"/>
      <c r="W96" s="494"/>
      <c r="X96" s="494"/>
      <c r="Y96" s="494"/>
      <c r="Z96" s="494"/>
      <c r="AA96" s="494"/>
      <c r="AB96" s="494"/>
      <c r="AC96" s="494"/>
      <c r="AD96" s="494"/>
      <c r="AE96" s="494"/>
    </row>
    <row r="97" spans="1:31" s="244" customFormat="1" ht="15" x14ac:dyDescent="0.25">
      <c r="A97" s="494"/>
      <c r="B97" s="494"/>
      <c r="C97" s="494"/>
      <c r="D97" s="494"/>
      <c r="E97" s="494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94"/>
      <c r="Q97" s="494"/>
      <c r="R97" s="494"/>
      <c r="S97" s="494"/>
      <c r="T97" s="494"/>
      <c r="U97" s="494"/>
      <c r="V97" s="494"/>
      <c r="W97" s="494"/>
      <c r="X97" s="494"/>
      <c r="Y97" s="494"/>
      <c r="Z97" s="494"/>
      <c r="AA97" s="494"/>
      <c r="AB97" s="494"/>
      <c r="AC97" s="494"/>
      <c r="AD97" s="494"/>
      <c r="AE97" s="494"/>
    </row>
    <row r="98" spans="1:31" s="244" customFormat="1" ht="15" x14ac:dyDescent="0.25">
      <c r="A98" s="494"/>
      <c r="B98" s="494"/>
      <c r="C98" s="494"/>
      <c r="D98" s="494"/>
      <c r="E98" s="494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494"/>
      <c r="AA98" s="494"/>
      <c r="AB98" s="494"/>
      <c r="AC98" s="494"/>
      <c r="AD98" s="494"/>
      <c r="AE98" s="494"/>
    </row>
    <row r="99" spans="1:31" s="244" customFormat="1" ht="15" x14ac:dyDescent="0.25">
      <c r="A99" s="494"/>
      <c r="B99" s="494"/>
      <c r="C99" s="494"/>
      <c r="D99" s="494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4"/>
      <c r="AE99" s="494"/>
    </row>
    <row r="100" spans="1:31" s="244" customFormat="1" ht="15" x14ac:dyDescent="0.25">
      <c r="A100" s="494"/>
      <c r="B100" s="494"/>
      <c r="C100" s="494"/>
      <c r="D100" s="494"/>
      <c r="E100" s="494"/>
      <c r="F100" s="494"/>
      <c r="G100" s="494"/>
      <c r="H100" s="494"/>
      <c r="I100" s="494"/>
      <c r="J100" s="494"/>
      <c r="K100" s="494"/>
      <c r="L100" s="494"/>
      <c r="M100" s="494"/>
      <c r="N100" s="494"/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4"/>
      <c r="Z100" s="494"/>
      <c r="AA100" s="494"/>
      <c r="AB100" s="494"/>
      <c r="AC100" s="494"/>
      <c r="AD100" s="494"/>
      <c r="AE100" s="494"/>
    </row>
    <row r="101" spans="1:31" s="244" customFormat="1" ht="15" x14ac:dyDescent="0.25">
      <c r="A101" s="494"/>
      <c r="B101" s="494"/>
      <c r="C101" s="494"/>
      <c r="D101" s="494"/>
      <c r="E101" s="494"/>
      <c r="F101" s="494"/>
      <c r="G101" s="494"/>
      <c r="H101" s="494"/>
      <c r="I101" s="494"/>
      <c r="J101" s="494"/>
      <c r="K101" s="494"/>
      <c r="L101" s="494"/>
      <c r="M101" s="494"/>
      <c r="N101" s="494"/>
      <c r="O101" s="494"/>
      <c r="P101" s="494"/>
      <c r="Q101" s="494"/>
      <c r="R101" s="494"/>
      <c r="S101" s="494"/>
      <c r="T101" s="494"/>
      <c r="U101" s="494"/>
      <c r="V101" s="494"/>
      <c r="W101" s="494"/>
      <c r="X101" s="494"/>
      <c r="Y101" s="494"/>
      <c r="Z101" s="494"/>
      <c r="AA101" s="494"/>
      <c r="AB101" s="494"/>
      <c r="AC101" s="494"/>
      <c r="AD101" s="494"/>
      <c r="AE101" s="494"/>
    </row>
    <row r="102" spans="1:31" s="244" customFormat="1" ht="15" x14ac:dyDescent="0.25">
      <c r="A102" s="494"/>
      <c r="B102" s="494"/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  <c r="M102" s="494"/>
      <c r="N102" s="494"/>
      <c r="O102" s="494"/>
      <c r="P102" s="494"/>
      <c r="Q102" s="494"/>
      <c r="R102" s="494"/>
      <c r="S102" s="494"/>
      <c r="T102" s="494"/>
      <c r="U102" s="494"/>
      <c r="V102" s="494"/>
      <c r="W102" s="494"/>
      <c r="X102" s="494"/>
      <c r="Y102" s="494"/>
      <c r="Z102" s="494"/>
      <c r="AA102" s="494"/>
      <c r="AB102" s="494"/>
      <c r="AC102" s="494"/>
      <c r="AD102" s="494"/>
      <c r="AE102" s="494"/>
    </row>
    <row r="103" spans="1:31" s="244" customFormat="1" ht="15" x14ac:dyDescent="0.25">
      <c r="A103" s="494"/>
      <c r="B103" s="494"/>
      <c r="C103" s="494"/>
      <c r="D103" s="494"/>
      <c r="E103" s="494"/>
      <c r="F103" s="494"/>
      <c r="G103" s="494"/>
      <c r="H103" s="494"/>
      <c r="I103" s="494"/>
      <c r="J103" s="494"/>
      <c r="K103" s="494"/>
      <c r="L103" s="494"/>
      <c r="M103" s="494"/>
      <c r="N103" s="494"/>
      <c r="O103" s="494"/>
      <c r="P103" s="494"/>
      <c r="Q103" s="494"/>
      <c r="R103" s="494"/>
      <c r="S103" s="494"/>
      <c r="T103" s="494"/>
      <c r="U103" s="494"/>
      <c r="V103" s="494"/>
      <c r="W103" s="494"/>
      <c r="X103" s="494"/>
      <c r="Y103" s="494"/>
      <c r="Z103" s="494"/>
      <c r="AA103" s="494"/>
      <c r="AB103" s="494"/>
      <c r="AC103" s="494"/>
      <c r="AD103" s="494"/>
      <c r="AE103" s="494"/>
    </row>
    <row r="104" spans="1:31" s="244" customFormat="1" ht="15" x14ac:dyDescent="0.25">
      <c r="A104" s="494"/>
      <c r="B104" s="494"/>
      <c r="C104" s="494"/>
      <c r="D104" s="494"/>
      <c r="E104" s="494"/>
      <c r="F104" s="494"/>
      <c r="G104" s="494"/>
      <c r="H104" s="494"/>
      <c r="I104" s="494"/>
      <c r="J104" s="494"/>
      <c r="K104" s="494"/>
      <c r="L104" s="494"/>
      <c r="M104" s="494"/>
      <c r="N104" s="494"/>
      <c r="O104" s="494"/>
      <c r="P104" s="494"/>
      <c r="Q104" s="494"/>
      <c r="R104" s="494"/>
      <c r="S104" s="494"/>
      <c r="T104" s="494"/>
      <c r="U104" s="494"/>
      <c r="V104" s="494"/>
      <c r="W104" s="494"/>
      <c r="X104" s="494"/>
      <c r="Y104" s="494"/>
      <c r="Z104" s="494"/>
      <c r="AA104" s="494"/>
      <c r="AB104" s="494"/>
      <c r="AC104" s="494"/>
      <c r="AD104" s="494"/>
      <c r="AE104" s="494"/>
    </row>
    <row r="105" spans="1:31" s="244" customFormat="1" ht="15" x14ac:dyDescent="0.25">
      <c r="A105" s="494"/>
      <c r="B105" s="494"/>
      <c r="C105" s="494"/>
      <c r="D105" s="494"/>
      <c r="E105" s="494"/>
      <c r="F105" s="494"/>
      <c r="G105" s="494"/>
      <c r="H105" s="494"/>
      <c r="I105" s="494"/>
      <c r="J105" s="494"/>
      <c r="K105" s="494"/>
      <c r="L105" s="494"/>
      <c r="M105" s="494"/>
      <c r="N105" s="494"/>
      <c r="O105" s="494"/>
      <c r="P105" s="494"/>
      <c r="Q105" s="494"/>
      <c r="R105" s="494"/>
      <c r="S105" s="494"/>
      <c r="T105" s="494"/>
      <c r="U105" s="494"/>
      <c r="V105" s="494"/>
      <c r="W105" s="494"/>
      <c r="X105" s="494"/>
      <c r="Y105" s="494"/>
      <c r="Z105" s="494"/>
      <c r="AA105" s="494"/>
      <c r="AB105" s="494"/>
      <c r="AC105" s="494"/>
      <c r="AD105" s="494"/>
      <c r="AE105" s="494"/>
    </row>
    <row r="106" spans="1:31" s="244" customFormat="1" ht="15" x14ac:dyDescent="0.25">
      <c r="A106" s="494"/>
      <c r="B106" s="494"/>
      <c r="C106" s="494"/>
      <c r="D106" s="494"/>
      <c r="E106" s="494"/>
      <c r="F106" s="494"/>
      <c r="G106" s="494"/>
      <c r="H106" s="494"/>
      <c r="I106" s="494"/>
      <c r="J106" s="494"/>
      <c r="K106" s="494"/>
      <c r="L106" s="494"/>
      <c r="M106" s="494"/>
      <c r="N106" s="494"/>
      <c r="O106" s="494"/>
      <c r="P106" s="494"/>
      <c r="Q106" s="494"/>
      <c r="R106" s="494"/>
      <c r="S106" s="494"/>
      <c r="T106" s="494"/>
      <c r="U106" s="494"/>
      <c r="V106" s="494"/>
      <c r="W106" s="494"/>
      <c r="X106" s="494"/>
      <c r="Y106" s="494"/>
      <c r="Z106" s="494"/>
      <c r="AA106" s="494"/>
      <c r="AB106" s="494"/>
      <c r="AC106" s="494"/>
      <c r="AD106" s="494"/>
      <c r="AE106" s="494"/>
    </row>
    <row r="107" spans="1:31" s="244" customFormat="1" ht="15" x14ac:dyDescent="0.25">
      <c r="A107" s="494"/>
      <c r="B107" s="494"/>
      <c r="C107" s="494"/>
      <c r="D107" s="494"/>
      <c r="E107" s="494"/>
      <c r="F107" s="494"/>
      <c r="G107" s="494"/>
      <c r="H107" s="494"/>
      <c r="I107" s="494"/>
      <c r="J107" s="494"/>
      <c r="K107" s="494"/>
      <c r="L107" s="494"/>
      <c r="M107" s="494"/>
      <c r="N107" s="494"/>
      <c r="O107" s="494"/>
      <c r="P107" s="494"/>
      <c r="Q107" s="494"/>
      <c r="R107" s="494"/>
      <c r="S107" s="494"/>
      <c r="T107" s="494"/>
      <c r="U107" s="494"/>
      <c r="V107" s="494"/>
      <c r="W107" s="494"/>
      <c r="X107" s="494"/>
      <c r="Y107" s="494"/>
      <c r="Z107" s="494"/>
      <c r="AA107" s="494"/>
      <c r="AB107" s="494"/>
      <c r="AC107" s="494"/>
      <c r="AD107" s="494"/>
      <c r="AE107" s="494"/>
    </row>
    <row r="108" spans="1:31" s="244" customFormat="1" ht="15" x14ac:dyDescent="0.25">
      <c r="A108" s="494"/>
      <c r="B108" s="494"/>
      <c r="C108" s="494"/>
      <c r="D108" s="494"/>
      <c r="E108" s="494"/>
      <c r="F108" s="494"/>
      <c r="G108" s="494"/>
      <c r="H108" s="494"/>
      <c r="I108" s="494"/>
      <c r="J108" s="494"/>
      <c r="K108" s="494"/>
      <c r="L108" s="494"/>
      <c r="M108" s="494"/>
      <c r="N108" s="494"/>
      <c r="O108" s="494"/>
      <c r="P108" s="494"/>
      <c r="Q108" s="494"/>
      <c r="R108" s="494"/>
      <c r="S108" s="494"/>
      <c r="T108" s="494"/>
      <c r="U108" s="494"/>
      <c r="V108" s="494"/>
      <c r="W108" s="494"/>
      <c r="X108" s="494"/>
      <c r="Y108" s="494"/>
      <c r="Z108" s="494"/>
      <c r="AA108" s="494"/>
      <c r="AB108" s="494"/>
      <c r="AC108" s="494"/>
      <c r="AD108" s="494"/>
      <c r="AE108" s="494"/>
    </row>
    <row r="109" spans="1:31" s="244" customFormat="1" ht="15" x14ac:dyDescent="0.25">
      <c r="A109" s="494"/>
      <c r="B109" s="494"/>
      <c r="C109" s="494"/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4"/>
      <c r="U109" s="494"/>
      <c r="V109" s="494"/>
      <c r="W109" s="494"/>
      <c r="X109" s="494"/>
      <c r="Y109" s="494"/>
      <c r="Z109" s="494"/>
      <c r="AA109" s="494"/>
      <c r="AB109" s="494"/>
      <c r="AC109" s="494"/>
      <c r="AD109" s="494"/>
      <c r="AE109" s="494"/>
    </row>
    <row r="110" spans="1:31" s="244" customFormat="1" ht="15" x14ac:dyDescent="0.25">
      <c r="A110" s="494"/>
      <c r="B110" s="494"/>
      <c r="C110" s="494"/>
      <c r="D110" s="494"/>
      <c r="E110" s="494"/>
      <c r="F110" s="494"/>
      <c r="G110" s="494"/>
      <c r="H110" s="494"/>
      <c r="I110" s="494"/>
      <c r="J110" s="494"/>
      <c r="K110" s="494"/>
      <c r="L110" s="494"/>
      <c r="M110" s="494"/>
      <c r="N110" s="494"/>
      <c r="O110" s="494"/>
      <c r="P110" s="494"/>
      <c r="Q110" s="494"/>
      <c r="R110" s="494"/>
      <c r="S110" s="494"/>
      <c r="T110" s="494"/>
      <c r="U110" s="494"/>
      <c r="V110" s="494"/>
      <c r="W110" s="494"/>
      <c r="X110" s="494"/>
      <c r="Y110" s="494"/>
      <c r="Z110" s="494"/>
      <c r="AA110" s="494"/>
      <c r="AB110" s="494"/>
      <c r="AC110" s="494"/>
      <c r="AD110" s="494"/>
      <c r="AE110" s="494"/>
    </row>
    <row r="111" spans="1:31" s="244" customFormat="1" ht="15" x14ac:dyDescent="0.25">
      <c r="A111" s="494"/>
      <c r="B111" s="494"/>
      <c r="C111" s="494"/>
      <c r="D111" s="494"/>
      <c r="E111" s="494"/>
      <c r="F111" s="494"/>
      <c r="G111" s="494"/>
      <c r="H111" s="494"/>
      <c r="I111" s="494"/>
      <c r="J111" s="494"/>
      <c r="K111" s="494"/>
      <c r="L111" s="494"/>
      <c r="M111" s="494"/>
      <c r="N111" s="494"/>
      <c r="O111" s="494"/>
      <c r="P111" s="494"/>
      <c r="Q111" s="494"/>
      <c r="R111" s="494"/>
      <c r="S111" s="494"/>
      <c r="T111" s="494"/>
      <c r="U111" s="494"/>
      <c r="V111" s="494"/>
      <c r="W111" s="494"/>
      <c r="X111" s="494"/>
      <c r="Y111" s="494"/>
      <c r="Z111" s="494"/>
      <c r="AA111" s="494"/>
      <c r="AB111" s="494"/>
      <c r="AC111" s="494"/>
      <c r="AD111" s="494"/>
      <c r="AE111" s="494"/>
    </row>
    <row r="112" spans="1:31" s="244" customFormat="1" ht="15" x14ac:dyDescent="0.25">
      <c r="A112" s="494"/>
      <c r="B112" s="494"/>
      <c r="C112" s="494"/>
      <c r="D112" s="494"/>
      <c r="E112" s="494"/>
      <c r="F112" s="494"/>
      <c r="G112" s="494"/>
      <c r="H112" s="494"/>
      <c r="I112" s="494"/>
      <c r="J112" s="494"/>
      <c r="K112" s="494"/>
      <c r="L112" s="494"/>
      <c r="M112" s="494"/>
      <c r="N112" s="494"/>
      <c r="O112" s="494"/>
      <c r="P112" s="494"/>
      <c r="Q112" s="494"/>
      <c r="R112" s="494"/>
      <c r="S112" s="494"/>
      <c r="T112" s="494"/>
      <c r="U112" s="494"/>
      <c r="V112" s="494"/>
      <c r="W112" s="494"/>
      <c r="X112" s="494"/>
      <c r="Y112" s="494"/>
      <c r="Z112" s="494"/>
      <c r="AA112" s="494"/>
      <c r="AB112" s="494"/>
      <c r="AC112" s="494"/>
      <c r="AD112" s="494"/>
      <c r="AE112" s="494"/>
    </row>
    <row r="113" spans="1:31" s="244" customFormat="1" ht="15" x14ac:dyDescent="0.25">
      <c r="A113" s="494"/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494"/>
      <c r="AB113" s="494"/>
      <c r="AC113" s="494"/>
      <c r="AD113" s="494"/>
      <c r="AE113" s="494"/>
    </row>
    <row r="114" spans="1:31" s="244" customFormat="1" ht="15" x14ac:dyDescent="0.25">
      <c r="A114" s="494"/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494"/>
      <c r="AB114" s="494"/>
      <c r="AC114" s="494"/>
      <c r="AD114" s="494"/>
      <c r="AE114" s="494"/>
    </row>
    <row r="115" spans="1:31" s="244" customFormat="1" ht="15" x14ac:dyDescent="0.25">
      <c r="A115" s="494"/>
      <c r="B115" s="494"/>
      <c r="C115" s="494"/>
      <c r="D115" s="494"/>
      <c r="E115" s="494"/>
      <c r="F115" s="494"/>
      <c r="G115" s="494"/>
      <c r="H115" s="494"/>
      <c r="I115" s="494"/>
      <c r="J115" s="494"/>
      <c r="K115" s="494"/>
      <c r="L115" s="494"/>
      <c r="M115" s="494"/>
      <c r="N115" s="494"/>
      <c r="O115" s="494"/>
      <c r="P115" s="494"/>
      <c r="Q115" s="494"/>
      <c r="R115" s="494"/>
      <c r="S115" s="494"/>
      <c r="T115" s="494"/>
      <c r="U115" s="494"/>
      <c r="V115" s="494"/>
      <c r="W115" s="494"/>
      <c r="X115" s="494"/>
      <c r="Y115" s="494"/>
      <c r="Z115" s="494"/>
      <c r="AA115" s="494"/>
      <c r="AB115" s="494"/>
      <c r="AC115" s="494"/>
      <c r="AD115" s="494"/>
      <c r="AE115" s="494"/>
    </row>
    <row r="116" spans="1:31" s="244" customFormat="1" ht="15" x14ac:dyDescent="0.25">
      <c r="A116" s="494"/>
      <c r="B116" s="494"/>
      <c r="C116" s="494"/>
      <c r="D116" s="494"/>
      <c r="E116" s="494"/>
      <c r="F116" s="494"/>
      <c r="G116" s="494"/>
      <c r="H116" s="494"/>
      <c r="I116" s="494"/>
      <c r="J116" s="494"/>
      <c r="K116" s="494"/>
      <c r="L116" s="494"/>
      <c r="M116" s="494"/>
      <c r="N116" s="494"/>
      <c r="O116" s="494"/>
      <c r="P116" s="494"/>
      <c r="Q116" s="494"/>
      <c r="R116" s="494"/>
      <c r="S116" s="494"/>
      <c r="T116" s="494"/>
      <c r="U116" s="494"/>
      <c r="V116" s="494"/>
      <c r="W116" s="494"/>
      <c r="X116" s="494"/>
      <c r="Y116" s="494"/>
      <c r="Z116" s="494"/>
      <c r="AA116" s="494"/>
      <c r="AB116" s="494"/>
      <c r="AC116" s="494"/>
      <c r="AD116" s="494"/>
      <c r="AE116" s="494"/>
    </row>
    <row r="117" spans="1:31" s="244" customFormat="1" ht="15" x14ac:dyDescent="0.25">
      <c r="A117" s="494"/>
      <c r="B117" s="494"/>
      <c r="C117" s="494"/>
      <c r="D117" s="494"/>
      <c r="E117" s="494"/>
      <c r="F117" s="4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  <c r="U117" s="494"/>
      <c r="V117" s="494"/>
      <c r="W117" s="494"/>
      <c r="X117" s="494"/>
      <c r="Y117" s="494"/>
      <c r="Z117" s="494"/>
      <c r="AA117" s="494"/>
      <c r="AB117" s="494"/>
      <c r="AC117" s="494"/>
      <c r="AD117" s="494"/>
      <c r="AE117" s="494"/>
    </row>
    <row r="118" spans="1:31" s="244" customFormat="1" ht="15" x14ac:dyDescent="0.25">
      <c r="A118" s="494"/>
      <c r="B118" s="494"/>
      <c r="C118" s="494"/>
      <c r="D118" s="494"/>
      <c r="E118" s="494"/>
      <c r="F118" s="494"/>
      <c r="G118" s="494"/>
      <c r="H118" s="494"/>
      <c r="I118" s="494"/>
      <c r="J118" s="494"/>
      <c r="K118" s="494"/>
      <c r="L118" s="494"/>
      <c r="M118" s="494"/>
      <c r="N118" s="494"/>
      <c r="O118" s="494"/>
      <c r="P118" s="494"/>
      <c r="Q118" s="494"/>
      <c r="R118" s="494"/>
      <c r="S118" s="494"/>
      <c r="T118" s="494"/>
      <c r="U118" s="494"/>
      <c r="V118" s="494"/>
      <c r="W118" s="494"/>
      <c r="X118" s="494"/>
      <c r="Y118" s="494"/>
      <c r="Z118" s="494"/>
      <c r="AA118" s="494"/>
      <c r="AB118" s="494"/>
      <c r="AC118" s="494"/>
      <c r="AD118" s="494"/>
      <c r="AE118" s="494"/>
    </row>
    <row r="119" spans="1:31" s="244" customFormat="1" ht="15" x14ac:dyDescent="0.25">
      <c r="A119" s="494"/>
      <c r="B119" s="494"/>
      <c r="C119" s="494"/>
      <c r="D119" s="494"/>
      <c r="E119" s="494"/>
      <c r="F119" s="494"/>
      <c r="G119" s="494"/>
      <c r="H119" s="494"/>
      <c r="I119" s="494"/>
      <c r="J119" s="494"/>
      <c r="K119" s="494"/>
      <c r="L119" s="494"/>
      <c r="M119" s="494"/>
      <c r="N119" s="494"/>
      <c r="O119" s="494"/>
      <c r="P119" s="494"/>
      <c r="Q119" s="494"/>
      <c r="R119" s="494"/>
      <c r="S119" s="494"/>
      <c r="T119" s="494"/>
      <c r="U119" s="494"/>
      <c r="V119" s="494"/>
      <c r="W119" s="494"/>
      <c r="X119" s="494"/>
      <c r="Y119" s="494"/>
      <c r="Z119" s="494"/>
      <c r="AA119" s="494"/>
      <c r="AB119" s="494"/>
      <c r="AC119" s="494"/>
      <c r="AD119" s="494"/>
      <c r="AE119" s="494"/>
    </row>
    <row r="120" spans="1:31" s="244" customFormat="1" ht="15" x14ac:dyDescent="0.25">
      <c r="A120" s="494"/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494"/>
      <c r="V120" s="494"/>
      <c r="W120" s="494"/>
      <c r="X120" s="494"/>
      <c r="Y120" s="494"/>
      <c r="Z120" s="494"/>
      <c r="AA120" s="494"/>
      <c r="AB120" s="494"/>
      <c r="AC120" s="494"/>
      <c r="AD120" s="494"/>
      <c r="AE120" s="494"/>
    </row>
    <row r="121" spans="1:31" s="244" customFormat="1" ht="15" x14ac:dyDescent="0.25">
      <c r="A121" s="494"/>
      <c r="B121" s="494"/>
      <c r="C121" s="494"/>
      <c r="D121" s="494"/>
      <c r="E121" s="494"/>
      <c r="F121" s="494"/>
      <c r="G121" s="494"/>
      <c r="H121" s="494"/>
      <c r="I121" s="494"/>
      <c r="J121" s="494"/>
      <c r="K121" s="494"/>
      <c r="L121" s="494"/>
      <c r="M121" s="494"/>
      <c r="N121" s="494"/>
      <c r="O121" s="494"/>
      <c r="P121" s="494"/>
      <c r="Q121" s="494"/>
      <c r="R121" s="494"/>
      <c r="S121" s="494"/>
      <c r="T121" s="494"/>
      <c r="U121" s="494"/>
      <c r="V121" s="494"/>
      <c r="W121" s="494"/>
      <c r="X121" s="494"/>
      <c r="Y121" s="494"/>
      <c r="Z121" s="494"/>
      <c r="AA121" s="494"/>
      <c r="AB121" s="494"/>
      <c r="AC121" s="494"/>
      <c r="AD121" s="494"/>
      <c r="AE121" s="494"/>
    </row>
    <row r="122" spans="1:31" ht="15" x14ac:dyDescent="0.25">
      <c r="A122" s="494"/>
      <c r="B122" s="494"/>
      <c r="C122" s="494"/>
      <c r="D122" s="494"/>
      <c r="E122" s="494"/>
      <c r="F122" s="494"/>
      <c r="G122" s="494"/>
      <c r="H122" s="494"/>
      <c r="I122" s="494"/>
      <c r="J122" s="494"/>
      <c r="K122" s="494"/>
      <c r="L122" s="494"/>
      <c r="M122" s="494"/>
      <c r="N122" s="494"/>
      <c r="O122" s="494"/>
      <c r="P122" s="494"/>
      <c r="Q122" s="494"/>
      <c r="R122" s="494"/>
      <c r="S122" s="494"/>
      <c r="T122" s="494"/>
      <c r="U122" s="494"/>
      <c r="V122" s="494"/>
      <c r="W122" s="494"/>
      <c r="X122" s="494"/>
      <c r="Y122" s="494"/>
      <c r="Z122" s="494"/>
      <c r="AA122" s="494"/>
      <c r="AB122" s="494"/>
      <c r="AC122" s="494"/>
      <c r="AD122" s="494"/>
      <c r="AE122" s="494"/>
    </row>
    <row r="123" spans="1:31" ht="15" x14ac:dyDescent="0.25">
      <c r="A123" s="494"/>
      <c r="B123" s="494"/>
      <c r="C123" s="494"/>
      <c r="D123" s="494"/>
      <c r="E123" s="494"/>
      <c r="F123" s="494"/>
      <c r="G123" s="494"/>
      <c r="H123" s="494"/>
      <c r="I123" s="494"/>
      <c r="J123" s="494"/>
      <c r="K123" s="494"/>
      <c r="L123" s="494"/>
      <c r="M123" s="494"/>
      <c r="N123" s="494"/>
      <c r="O123" s="494"/>
      <c r="P123" s="494"/>
      <c r="Q123" s="494"/>
      <c r="R123" s="494"/>
      <c r="S123" s="494"/>
      <c r="T123" s="494"/>
      <c r="U123" s="494"/>
      <c r="V123" s="494"/>
      <c r="W123" s="494"/>
      <c r="X123" s="494"/>
      <c r="Y123" s="494"/>
      <c r="Z123" s="494"/>
      <c r="AA123" s="494"/>
      <c r="AB123" s="494"/>
      <c r="AC123" s="494"/>
      <c r="AD123" s="494"/>
      <c r="AE123" s="494"/>
    </row>
    <row r="124" spans="1:31" ht="15" x14ac:dyDescent="0.25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</row>
    <row r="125" spans="1:31" ht="15" x14ac:dyDescent="0.25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</row>
    <row r="126" spans="1:31" ht="15" x14ac:dyDescent="0.25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</row>
    <row r="127" spans="1:31" ht="15" x14ac:dyDescent="0.25">
      <c r="A127" s="244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</row>
    <row r="128" spans="1:31" ht="15" x14ac:dyDescent="0.25">
      <c r="A128" s="244"/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</row>
    <row r="129" spans="1:31" ht="15" x14ac:dyDescent="0.25">
      <c r="A129" s="244"/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</row>
    <row r="130" spans="1:31" ht="15" x14ac:dyDescent="0.25">
      <c r="A130" s="244"/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</row>
    <row r="131" spans="1:31" ht="15" x14ac:dyDescent="0.25">
      <c r="A131" s="244"/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</row>
    <row r="132" spans="1:31" ht="15" x14ac:dyDescent="0.25">
      <c r="A132" s="244"/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</row>
    <row r="133" spans="1:31" ht="15" x14ac:dyDescent="0.25">
      <c r="A133" s="244"/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</row>
    <row r="134" spans="1:31" ht="15" x14ac:dyDescent="0.25">
      <c r="A134" s="244"/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</row>
    <row r="135" spans="1:31" ht="15" x14ac:dyDescent="0.25">
      <c r="A135" s="244"/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</row>
  </sheetData>
  <mergeCells count="6">
    <mergeCell ref="F1:H1"/>
    <mergeCell ref="F2:H2"/>
    <mergeCell ref="F3:H3"/>
    <mergeCell ref="R10:S10"/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O40"/>
  <sheetViews>
    <sheetView zoomScalePageLayoutView="80" workbookViewId="0">
      <pane xSplit="2" ySplit="1" topLeftCell="C7" activePane="bottomRight" state="frozen"/>
      <selection activeCell="U17" sqref="U17"/>
      <selection pane="topRight" activeCell="U17" sqref="U17"/>
      <selection pane="bottomLeft" activeCell="U17" sqref="U17"/>
      <selection pane="bottomRight" activeCell="AP18" sqref="AP18"/>
    </sheetView>
  </sheetViews>
  <sheetFormatPr defaultColWidth="8.85546875" defaultRowHeight="12.75" x14ac:dyDescent="0.2"/>
  <cols>
    <col min="2" max="2" width="18.28515625" customWidth="1"/>
    <col min="3" max="3" width="16" customWidth="1"/>
    <col min="4" max="4" width="15.42578125" customWidth="1"/>
    <col min="5" max="5" width="16.7109375" customWidth="1"/>
    <col min="6" max="6" width="3.5703125" customWidth="1"/>
    <col min="13" max="13" width="2.7109375" customWidth="1"/>
    <col min="24" max="24" width="3" customWidth="1"/>
    <col min="35" max="35" width="9.85546875" style="231" customWidth="1"/>
    <col min="36" max="36" width="10.85546875" style="231" customWidth="1"/>
    <col min="37" max="37" width="8" style="231" customWidth="1"/>
    <col min="38" max="38" width="2.7109375" customWidth="1"/>
    <col min="39" max="39" width="8.85546875" style="231"/>
    <col min="40" max="40" width="2.85546875" customWidth="1"/>
  </cols>
  <sheetData>
    <row r="1" spans="1:41" ht="15.75" x14ac:dyDescent="0.25">
      <c r="A1" s="52" t="str">
        <f>CompDetail!A1</f>
        <v>NSW State Championships</v>
      </c>
      <c r="B1" s="3"/>
      <c r="C1" s="243"/>
      <c r="D1" s="494" t="s">
        <v>0</v>
      </c>
      <c r="E1" s="494" t="s">
        <v>257</v>
      </c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264"/>
      <c r="AJ1" s="264"/>
      <c r="AK1" s="264"/>
      <c r="AL1" s="494"/>
      <c r="AM1" s="494"/>
      <c r="AN1" s="494"/>
      <c r="AO1" s="494"/>
    </row>
    <row r="2" spans="1:41" ht="15.75" x14ac:dyDescent="0.25">
      <c r="A2" s="53"/>
      <c r="B2" s="3"/>
      <c r="C2" s="243"/>
      <c r="D2" s="494"/>
      <c r="E2" s="494" t="s">
        <v>258</v>
      </c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245"/>
      <c r="V2" s="494"/>
      <c r="W2" s="494"/>
      <c r="X2" s="245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264"/>
      <c r="AJ2" s="264"/>
      <c r="AK2" s="264"/>
      <c r="AL2" s="494"/>
      <c r="AM2" s="494"/>
      <c r="AN2" s="494"/>
      <c r="AO2" s="494"/>
    </row>
    <row r="3" spans="1:41" ht="15.75" x14ac:dyDescent="0.25">
      <c r="A3" s="520" t="str">
        <f>CompDetail!A3</f>
        <v>June 9 to 11 2018</v>
      </c>
      <c r="B3" s="521"/>
      <c r="C3" s="243"/>
      <c r="D3" s="494"/>
      <c r="E3" s="494" t="s">
        <v>256</v>
      </c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245"/>
      <c r="V3" s="494"/>
      <c r="W3" s="494"/>
      <c r="X3" s="245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264"/>
      <c r="AJ3" s="264"/>
      <c r="AK3" s="264"/>
      <c r="AL3" s="494"/>
      <c r="AM3" s="494"/>
      <c r="AN3" s="494"/>
      <c r="AO3" s="494"/>
    </row>
    <row r="4" spans="1:41" ht="15.75" x14ac:dyDescent="0.25">
      <c r="A4" s="162"/>
      <c r="B4" s="156"/>
      <c r="C4" s="243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245"/>
      <c r="V4" s="494"/>
      <c r="W4" s="494"/>
      <c r="X4" s="245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264"/>
      <c r="AJ4" s="264"/>
      <c r="AK4" s="264"/>
      <c r="AL4" s="494"/>
      <c r="AM4" s="494"/>
      <c r="AN4" s="494"/>
      <c r="AO4" s="494"/>
    </row>
    <row r="5" spans="1:41" ht="15.75" x14ac:dyDescent="0.25">
      <c r="A5" s="493" t="s">
        <v>246</v>
      </c>
      <c r="B5" s="493"/>
      <c r="C5" s="244"/>
      <c r="D5" s="494"/>
      <c r="E5" s="494"/>
      <c r="F5" s="230"/>
      <c r="G5" s="249" t="s">
        <v>31</v>
      </c>
      <c r="H5" s="250"/>
      <c r="I5" s="249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81"/>
      <c r="AI5" s="230"/>
      <c r="AJ5" s="230"/>
      <c r="AK5" s="230"/>
      <c r="AL5" s="230"/>
      <c r="AM5" s="410"/>
      <c r="AN5" s="494"/>
      <c r="AO5" s="494"/>
    </row>
    <row r="6" spans="1:41" ht="15.75" x14ac:dyDescent="0.25">
      <c r="A6" s="493" t="s">
        <v>64</v>
      </c>
      <c r="B6" s="493" t="s">
        <v>247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248"/>
      <c r="AI6" s="264"/>
      <c r="AJ6" s="264"/>
      <c r="AK6" s="264"/>
      <c r="AL6" s="494"/>
      <c r="AM6" s="494"/>
      <c r="AN6" s="494"/>
      <c r="AO6" s="494"/>
    </row>
    <row r="7" spans="1:41" ht="15" x14ac:dyDescent="0.25">
      <c r="A7" s="244"/>
      <c r="B7" s="244"/>
      <c r="C7" s="494"/>
      <c r="D7" s="494"/>
      <c r="E7" s="494"/>
      <c r="F7" s="494"/>
      <c r="G7" s="245" t="s">
        <v>58</v>
      </c>
      <c r="H7" s="494" t="str">
        <f>E1</f>
        <v>A Deeks</v>
      </c>
      <c r="I7" s="245"/>
      <c r="J7" s="245"/>
      <c r="K7" s="245"/>
      <c r="L7" s="245"/>
      <c r="M7" s="245"/>
      <c r="N7" s="245" t="s">
        <v>57</v>
      </c>
      <c r="O7" s="494" t="str">
        <f>E2</f>
        <v>J Scott</v>
      </c>
      <c r="P7" s="494"/>
      <c r="Q7" s="494"/>
      <c r="R7" s="245"/>
      <c r="S7" s="494"/>
      <c r="T7" s="245"/>
      <c r="U7" s="494"/>
      <c r="V7" s="494"/>
      <c r="W7" s="494"/>
      <c r="X7" s="494"/>
      <c r="Y7" s="245" t="s">
        <v>59</v>
      </c>
      <c r="Z7" s="494" t="str">
        <f>E3</f>
        <v>R Bruderer</v>
      </c>
      <c r="AA7" s="494"/>
      <c r="AB7" s="494"/>
      <c r="AC7" s="494"/>
      <c r="AD7" s="494"/>
      <c r="AE7" s="494"/>
      <c r="AF7" s="494"/>
      <c r="AG7" s="494"/>
      <c r="AH7" s="494"/>
      <c r="AI7" s="404"/>
      <c r="AJ7" s="404"/>
      <c r="AK7" s="404"/>
      <c r="AL7" s="245"/>
      <c r="AM7" s="494"/>
      <c r="AN7" s="494"/>
      <c r="AO7" s="494"/>
    </row>
    <row r="8" spans="1:41" ht="15" x14ac:dyDescent="0.25">
      <c r="A8" s="244"/>
      <c r="B8" s="24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264"/>
      <c r="AJ8" s="264"/>
      <c r="AK8" s="264"/>
      <c r="AL8" s="494"/>
      <c r="AM8" s="494"/>
      <c r="AN8" s="494"/>
      <c r="AO8" s="494"/>
    </row>
    <row r="9" spans="1:41" ht="15" x14ac:dyDescent="0.25">
      <c r="A9" s="494"/>
      <c r="B9" s="494"/>
      <c r="C9" s="494"/>
      <c r="D9" s="494"/>
      <c r="E9" s="494"/>
      <c r="F9" s="26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253" t="s">
        <v>25</v>
      </c>
      <c r="X9" s="254"/>
      <c r="Y9" s="494"/>
      <c r="Z9" s="494"/>
      <c r="AA9" s="494"/>
      <c r="AB9" s="494"/>
      <c r="AC9" s="494"/>
      <c r="AD9" s="494"/>
      <c r="AE9" s="494"/>
      <c r="AF9" s="494"/>
      <c r="AG9" s="494"/>
      <c r="AH9" s="253" t="s">
        <v>25</v>
      </c>
      <c r="AI9" s="406" t="s">
        <v>58</v>
      </c>
      <c r="AJ9" s="264" t="s">
        <v>57</v>
      </c>
      <c r="AK9" s="264" t="s">
        <v>59</v>
      </c>
      <c r="AL9" s="257"/>
      <c r="AM9" s="256"/>
      <c r="AN9" s="306"/>
      <c r="AO9" s="494"/>
    </row>
    <row r="10" spans="1:41" ht="15" x14ac:dyDescent="0.25">
      <c r="A10" s="253" t="s">
        <v>33</v>
      </c>
      <c r="B10" s="253" t="s">
        <v>34</v>
      </c>
      <c r="C10" s="253" t="s">
        <v>35</v>
      </c>
      <c r="D10" s="253" t="s">
        <v>36</v>
      </c>
      <c r="E10" s="253" t="s">
        <v>66</v>
      </c>
      <c r="F10" s="254"/>
      <c r="G10" s="253" t="s">
        <v>35</v>
      </c>
      <c r="H10" s="253"/>
      <c r="I10" s="253"/>
      <c r="J10" s="253"/>
      <c r="K10" s="253"/>
      <c r="L10" s="255"/>
      <c r="M10" s="254"/>
      <c r="N10" s="253" t="s">
        <v>38</v>
      </c>
      <c r="O10" s="253" t="s">
        <v>39</v>
      </c>
      <c r="P10" s="253" t="s">
        <v>26</v>
      </c>
      <c r="Q10" s="253" t="s">
        <v>69</v>
      </c>
      <c r="R10" s="253" t="s">
        <v>83</v>
      </c>
      <c r="S10" s="255" t="s">
        <v>85</v>
      </c>
      <c r="T10" s="253" t="s">
        <v>40</v>
      </c>
      <c r="U10" s="253" t="s">
        <v>27</v>
      </c>
      <c r="V10" s="253" t="s">
        <v>60</v>
      </c>
      <c r="W10" s="253" t="s">
        <v>28</v>
      </c>
      <c r="X10" s="254"/>
      <c r="Y10" s="253" t="s">
        <v>38</v>
      </c>
      <c r="Z10" s="253" t="s">
        <v>39</v>
      </c>
      <c r="AA10" s="253" t="s">
        <v>26</v>
      </c>
      <c r="AB10" s="253" t="s">
        <v>69</v>
      </c>
      <c r="AC10" s="253" t="s">
        <v>83</v>
      </c>
      <c r="AD10" s="253" t="s">
        <v>84</v>
      </c>
      <c r="AE10" s="253" t="s">
        <v>40</v>
      </c>
      <c r="AF10" s="253" t="s">
        <v>27</v>
      </c>
      <c r="AG10" s="253" t="s">
        <v>60</v>
      </c>
      <c r="AH10" s="253" t="s">
        <v>28</v>
      </c>
      <c r="AI10" s="407"/>
      <c r="AJ10" s="255"/>
      <c r="AK10" s="255"/>
      <c r="AL10" s="254"/>
      <c r="AM10" s="256" t="s">
        <v>41</v>
      </c>
      <c r="AN10" s="306"/>
      <c r="AO10" s="256" t="s">
        <v>44</v>
      </c>
    </row>
    <row r="11" spans="1:41" ht="15" x14ac:dyDescent="0.25">
      <c r="A11" s="494"/>
      <c r="B11" s="494"/>
      <c r="C11" s="494"/>
      <c r="D11" s="494"/>
      <c r="E11" s="494"/>
      <c r="F11" s="257"/>
      <c r="G11" s="262" t="s">
        <v>7</v>
      </c>
      <c r="H11" s="262" t="s">
        <v>8</v>
      </c>
      <c r="I11" s="262" t="s">
        <v>9</v>
      </c>
      <c r="J11" s="262" t="s">
        <v>10</v>
      </c>
      <c r="K11" s="262" t="s">
        <v>11</v>
      </c>
      <c r="L11" s="263" t="s">
        <v>35</v>
      </c>
      <c r="M11" s="257"/>
      <c r="N11" s="494"/>
      <c r="O11" s="494"/>
      <c r="P11" s="494"/>
      <c r="Q11" s="494"/>
      <c r="R11" s="494"/>
      <c r="S11" s="264"/>
      <c r="T11" s="494"/>
      <c r="U11" s="494"/>
      <c r="V11" s="494"/>
      <c r="W11" s="494"/>
      <c r="X11" s="257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06"/>
      <c r="AJ11" s="264"/>
      <c r="AK11" s="264"/>
      <c r="AL11" s="257"/>
      <c r="AM11" s="494"/>
      <c r="AN11" s="257"/>
      <c r="AO11" s="494"/>
    </row>
    <row r="12" spans="1:41" ht="15" x14ac:dyDescent="0.25">
      <c r="A12" s="294">
        <v>1</v>
      </c>
      <c r="B12" s="308" t="s">
        <v>145</v>
      </c>
      <c r="C12" s="290"/>
      <c r="D12" s="290"/>
      <c r="E12" s="290"/>
      <c r="F12" s="257"/>
      <c r="G12" s="288"/>
      <c r="H12" s="288"/>
      <c r="I12" s="288"/>
      <c r="J12" s="288"/>
      <c r="K12" s="288"/>
      <c r="L12" s="266"/>
      <c r="M12" s="257"/>
      <c r="N12" s="267">
        <v>6</v>
      </c>
      <c r="O12" s="267">
        <v>6.5</v>
      </c>
      <c r="P12" s="267">
        <v>6.5</v>
      </c>
      <c r="Q12" s="267">
        <v>7.5</v>
      </c>
      <c r="R12" s="267">
        <v>7</v>
      </c>
      <c r="S12" s="282">
        <v>7.2</v>
      </c>
      <c r="T12" s="267">
        <v>8</v>
      </c>
      <c r="U12" s="267">
        <v>8</v>
      </c>
      <c r="V12" s="268">
        <f t="shared" ref="V12:V17" si="0">SUM(N12:U12)</f>
        <v>56.7</v>
      </c>
      <c r="W12" s="269"/>
      <c r="X12" s="257"/>
      <c r="Y12" s="267">
        <v>6.2</v>
      </c>
      <c r="Z12" s="267">
        <v>6.3</v>
      </c>
      <c r="AA12" s="267">
        <v>7</v>
      </c>
      <c r="AB12" s="267">
        <v>6.2</v>
      </c>
      <c r="AC12" s="267">
        <v>7.5</v>
      </c>
      <c r="AD12" s="267">
        <v>7.5</v>
      </c>
      <c r="AE12" s="267">
        <v>7</v>
      </c>
      <c r="AF12" s="267">
        <v>6.5</v>
      </c>
      <c r="AG12" s="268">
        <f t="shared" ref="AG12:AG17" si="1">SUM(Y12:AF12)</f>
        <v>54.2</v>
      </c>
      <c r="AH12" s="269"/>
      <c r="AI12" s="409"/>
      <c r="AJ12" s="266"/>
      <c r="AK12" s="266"/>
      <c r="AL12" s="257"/>
      <c r="AM12" s="266"/>
      <c r="AN12" s="274"/>
      <c r="AO12" s="288"/>
    </row>
    <row r="13" spans="1:41" ht="15" x14ac:dyDescent="0.25">
      <c r="A13" s="294">
        <v>2</v>
      </c>
      <c r="B13" s="308" t="s">
        <v>146</v>
      </c>
      <c r="C13" s="290"/>
      <c r="D13" s="290"/>
      <c r="E13" s="290"/>
      <c r="F13" s="257"/>
      <c r="G13" s="288"/>
      <c r="H13" s="288"/>
      <c r="I13" s="288"/>
      <c r="J13" s="288"/>
      <c r="K13" s="288"/>
      <c r="L13" s="288"/>
      <c r="M13" s="257"/>
      <c r="N13" s="267">
        <v>6</v>
      </c>
      <c r="O13" s="267">
        <v>7</v>
      </c>
      <c r="P13" s="267">
        <v>6.5</v>
      </c>
      <c r="Q13" s="267">
        <v>6.5</v>
      </c>
      <c r="R13" s="267">
        <v>6</v>
      </c>
      <c r="S13" s="267">
        <v>6.5</v>
      </c>
      <c r="T13" s="267">
        <v>6.5</v>
      </c>
      <c r="U13" s="267">
        <v>7</v>
      </c>
      <c r="V13" s="268">
        <f t="shared" si="0"/>
        <v>52</v>
      </c>
      <c r="W13" s="269"/>
      <c r="X13" s="257"/>
      <c r="Y13" s="267">
        <v>6.5</v>
      </c>
      <c r="Z13" s="267">
        <v>6.7</v>
      </c>
      <c r="AA13" s="267">
        <v>6.3</v>
      </c>
      <c r="AB13" s="267">
        <v>6</v>
      </c>
      <c r="AC13" s="267">
        <v>7</v>
      </c>
      <c r="AD13" s="267">
        <v>7</v>
      </c>
      <c r="AE13" s="267">
        <v>7</v>
      </c>
      <c r="AF13" s="267">
        <v>6.2</v>
      </c>
      <c r="AG13" s="268">
        <f t="shared" si="1"/>
        <v>52.7</v>
      </c>
      <c r="AH13" s="269"/>
      <c r="AI13" s="409"/>
      <c r="AJ13" s="266"/>
      <c r="AK13" s="266"/>
      <c r="AL13" s="257"/>
      <c r="AM13" s="266"/>
      <c r="AN13" s="257"/>
      <c r="AO13" s="288"/>
    </row>
    <row r="14" spans="1:41" ht="15" x14ac:dyDescent="0.25">
      <c r="A14" s="294">
        <v>3</v>
      </c>
      <c r="B14" s="308" t="s">
        <v>147</v>
      </c>
      <c r="C14" s="290"/>
      <c r="D14" s="290"/>
      <c r="E14" s="290"/>
      <c r="F14" s="257"/>
      <c r="G14" s="288"/>
      <c r="H14" s="288"/>
      <c r="I14" s="288"/>
      <c r="J14" s="288"/>
      <c r="K14" s="288"/>
      <c r="L14" s="288"/>
      <c r="M14" s="257"/>
      <c r="N14" s="267">
        <v>5.5</v>
      </c>
      <c r="O14" s="267">
        <v>6.5</v>
      </c>
      <c r="P14" s="267">
        <v>5</v>
      </c>
      <c r="Q14" s="267">
        <v>6.5</v>
      </c>
      <c r="R14" s="267">
        <v>6</v>
      </c>
      <c r="S14" s="267">
        <v>6.5</v>
      </c>
      <c r="T14" s="267">
        <v>7.5</v>
      </c>
      <c r="U14" s="267">
        <v>7</v>
      </c>
      <c r="V14" s="268">
        <f t="shared" si="0"/>
        <v>50.5</v>
      </c>
      <c r="W14" s="269"/>
      <c r="X14" s="257"/>
      <c r="Y14" s="267">
        <v>6.3</v>
      </c>
      <c r="Z14" s="267">
        <v>7.5</v>
      </c>
      <c r="AA14" s="267">
        <v>6.7</v>
      </c>
      <c r="AB14" s="267">
        <v>6.5</v>
      </c>
      <c r="AC14" s="267">
        <v>7</v>
      </c>
      <c r="AD14" s="267">
        <v>7</v>
      </c>
      <c r="AE14" s="267">
        <v>7.2</v>
      </c>
      <c r="AF14" s="267">
        <v>6.7</v>
      </c>
      <c r="AG14" s="268">
        <f t="shared" si="1"/>
        <v>54.900000000000006</v>
      </c>
      <c r="AH14" s="269"/>
      <c r="AI14" s="409"/>
      <c r="AJ14" s="266"/>
      <c r="AK14" s="266"/>
      <c r="AL14" s="257"/>
      <c r="AM14" s="266"/>
      <c r="AN14" s="257"/>
      <c r="AO14" s="288"/>
    </row>
    <row r="15" spans="1:41" ht="15" x14ac:dyDescent="0.25">
      <c r="A15" s="294">
        <v>4</v>
      </c>
      <c r="B15" s="308" t="s">
        <v>148</v>
      </c>
      <c r="C15" s="290"/>
      <c r="D15" s="290"/>
      <c r="E15" s="290"/>
      <c r="F15" s="257"/>
      <c r="G15" s="288"/>
      <c r="H15" s="288"/>
      <c r="I15" s="288"/>
      <c r="J15" s="288"/>
      <c r="K15" s="288"/>
      <c r="L15" s="288"/>
      <c r="M15" s="257"/>
      <c r="N15" s="267">
        <v>7</v>
      </c>
      <c r="O15" s="267">
        <v>4.5</v>
      </c>
      <c r="P15" s="267">
        <v>6</v>
      </c>
      <c r="Q15" s="267">
        <v>6</v>
      </c>
      <c r="R15" s="267">
        <v>5</v>
      </c>
      <c r="S15" s="267">
        <v>6</v>
      </c>
      <c r="T15" s="267">
        <v>5.5</v>
      </c>
      <c r="U15" s="267">
        <v>6.5</v>
      </c>
      <c r="V15" s="268">
        <f t="shared" si="0"/>
        <v>46.5</v>
      </c>
      <c r="W15" s="269"/>
      <c r="X15" s="257"/>
      <c r="Y15" s="267">
        <v>6.2</v>
      </c>
      <c r="Z15" s="267">
        <v>6.8</v>
      </c>
      <c r="AA15" s="267">
        <v>5</v>
      </c>
      <c r="AB15" s="267">
        <v>6</v>
      </c>
      <c r="AC15" s="267">
        <v>5</v>
      </c>
      <c r="AD15" s="267">
        <v>5</v>
      </c>
      <c r="AE15" s="267">
        <v>6.4</v>
      </c>
      <c r="AF15" s="267">
        <v>6.2</v>
      </c>
      <c r="AG15" s="268">
        <f t="shared" si="1"/>
        <v>46.6</v>
      </c>
      <c r="AH15" s="269"/>
      <c r="AI15" s="409"/>
      <c r="AJ15" s="266"/>
      <c r="AK15" s="266"/>
      <c r="AL15" s="257"/>
      <c r="AM15" s="266"/>
      <c r="AN15" s="257"/>
      <c r="AO15" s="288"/>
    </row>
    <row r="16" spans="1:41" ht="15" x14ac:dyDescent="0.25">
      <c r="A16" s="294">
        <v>5</v>
      </c>
      <c r="B16" s="308" t="s">
        <v>149</v>
      </c>
      <c r="C16" s="290"/>
      <c r="D16" s="290"/>
      <c r="E16" s="290"/>
      <c r="F16" s="257"/>
      <c r="G16" s="288"/>
      <c r="H16" s="288"/>
      <c r="I16" s="288"/>
      <c r="J16" s="288"/>
      <c r="K16" s="288"/>
      <c r="L16" s="288"/>
      <c r="M16" s="257"/>
      <c r="N16" s="267">
        <v>8</v>
      </c>
      <c r="O16" s="267">
        <v>7</v>
      </c>
      <c r="P16" s="267">
        <v>6.5</v>
      </c>
      <c r="Q16" s="267">
        <v>6.5</v>
      </c>
      <c r="R16" s="267">
        <v>7.5</v>
      </c>
      <c r="S16" s="267">
        <v>6.5</v>
      </c>
      <c r="T16" s="267">
        <v>8</v>
      </c>
      <c r="U16" s="267">
        <v>7.5</v>
      </c>
      <c r="V16" s="268">
        <f t="shared" si="0"/>
        <v>57.5</v>
      </c>
      <c r="W16" s="269"/>
      <c r="X16" s="257"/>
      <c r="Y16" s="267">
        <v>6.2</v>
      </c>
      <c r="Z16" s="267">
        <v>6.7</v>
      </c>
      <c r="AA16" s="267">
        <v>6.7</v>
      </c>
      <c r="AB16" s="267">
        <v>6.8</v>
      </c>
      <c r="AC16" s="267">
        <v>7.5</v>
      </c>
      <c r="AD16" s="267">
        <v>7.5</v>
      </c>
      <c r="AE16" s="267">
        <v>7</v>
      </c>
      <c r="AF16" s="267">
        <v>6</v>
      </c>
      <c r="AG16" s="268">
        <f t="shared" si="1"/>
        <v>54.400000000000006</v>
      </c>
      <c r="AH16" s="269"/>
      <c r="AI16" s="409"/>
      <c r="AJ16" s="266"/>
      <c r="AK16" s="266"/>
      <c r="AL16" s="257"/>
      <c r="AM16" s="266"/>
      <c r="AN16" s="257"/>
      <c r="AO16" s="288"/>
    </row>
    <row r="17" spans="1:41" ht="15" x14ac:dyDescent="0.25">
      <c r="A17" s="294">
        <v>6</v>
      </c>
      <c r="B17" s="308" t="s">
        <v>150</v>
      </c>
      <c r="C17" s="290"/>
      <c r="D17" s="290"/>
      <c r="E17" s="290"/>
      <c r="F17" s="257"/>
      <c r="G17" s="288"/>
      <c r="H17" s="288"/>
      <c r="I17" s="288"/>
      <c r="J17" s="288"/>
      <c r="K17" s="288"/>
      <c r="L17" s="288"/>
      <c r="M17" s="257"/>
      <c r="N17" s="267">
        <v>6.5</v>
      </c>
      <c r="O17" s="267">
        <v>6.5</v>
      </c>
      <c r="P17" s="267">
        <v>6</v>
      </c>
      <c r="Q17" s="267">
        <v>6</v>
      </c>
      <c r="R17" s="267">
        <v>5.5</v>
      </c>
      <c r="S17" s="267">
        <v>5</v>
      </c>
      <c r="T17" s="267">
        <v>7</v>
      </c>
      <c r="U17" s="267">
        <v>6.5</v>
      </c>
      <c r="V17" s="268">
        <f t="shared" si="0"/>
        <v>49</v>
      </c>
      <c r="W17" s="269"/>
      <c r="X17" s="257"/>
      <c r="Y17" s="267">
        <v>6.5</v>
      </c>
      <c r="Z17" s="267">
        <v>6.8</v>
      </c>
      <c r="AA17" s="267">
        <v>6.5</v>
      </c>
      <c r="AB17" s="267">
        <v>7</v>
      </c>
      <c r="AC17" s="267">
        <v>7.2</v>
      </c>
      <c r="AD17" s="267">
        <v>7.2</v>
      </c>
      <c r="AE17" s="267">
        <v>7</v>
      </c>
      <c r="AF17" s="267">
        <v>7.2</v>
      </c>
      <c r="AG17" s="268">
        <f t="shared" si="1"/>
        <v>55.400000000000006</v>
      </c>
      <c r="AH17" s="269"/>
      <c r="AI17" s="409"/>
      <c r="AJ17" s="266"/>
      <c r="AK17" s="266"/>
      <c r="AL17" s="257"/>
      <c r="AM17" s="266"/>
      <c r="AN17" s="257"/>
      <c r="AO17" s="288"/>
    </row>
    <row r="18" spans="1:41" ht="15" x14ac:dyDescent="0.25">
      <c r="A18" s="295"/>
      <c r="B18" s="291"/>
      <c r="C18" s="309" t="s">
        <v>151</v>
      </c>
      <c r="D18" s="309" t="s">
        <v>152</v>
      </c>
      <c r="E18" s="309" t="s">
        <v>153</v>
      </c>
      <c r="F18" s="303"/>
      <c r="G18" s="298">
        <v>5.8</v>
      </c>
      <c r="H18" s="298">
        <v>5.6</v>
      </c>
      <c r="I18" s="298">
        <v>5.8</v>
      </c>
      <c r="J18" s="509">
        <v>6</v>
      </c>
      <c r="K18" s="509">
        <v>7</v>
      </c>
      <c r="L18" s="301">
        <f>SUM((G18*0.1),(H18*0.1),(I18*0.3),(J18*0.3),(K18*0.2))</f>
        <v>6.08</v>
      </c>
      <c r="M18" s="299"/>
      <c r="N18" s="495"/>
      <c r="O18" s="495"/>
      <c r="P18" s="495"/>
      <c r="Q18" s="495"/>
      <c r="R18" s="495"/>
      <c r="S18" s="495"/>
      <c r="T18" s="525" t="s">
        <v>29</v>
      </c>
      <c r="U18" s="525"/>
      <c r="V18" s="304">
        <f>SUM(V12:V17)</f>
        <v>312.2</v>
      </c>
      <c r="W18" s="304">
        <f>(V18/6)/8</f>
        <v>6.5041666666666664</v>
      </c>
      <c r="X18" s="303"/>
      <c r="Y18" s="495"/>
      <c r="Z18" s="495"/>
      <c r="AA18" s="495"/>
      <c r="AB18" s="495"/>
      <c r="AC18" s="495"/>
      <c r="AD18" s="495"/>
      <c r="AE18" s="525" t="s">
        <v>29</v>
      </c>
      <c r="AF18" s="525"/>
      <c r="AG18" s="304">
        <f>SUM(AG12:AG17)</f>
        <v>318.20000000000005</v>
      </c>
      <c r="AH18" s="304">
        <f>(AG18/6)/8</f>
        <v>6.6291666666666673</v>
      </c>
      <c r="AI18" s="408">
        <f>L18</f>
        <v>6.08</v>
      </c>
      <c r="AJ18" s="405">
        <f>W18</f>
        <v>6.5041666666666664</v>
      </c>
      <c r="AK18" s="405">
        <f>AH18</f>
        <v>6.6291666666666673</v>
      </c>
      <c r="AL18" s="299"/>
      <c r="AM18" s="301">
        <f>SUM((L18*0.25)+(W18*0.375)+(AH18*0.375))</f>
        <v>6.4450000000000003</v>
      </c>
      <c r="AN18" s="310"/>
      <c r="AO18" s="305">
        <v>1</v>
      </c>
    </row>
    <row r="19" spans="1:41" ht="15" x14ac:dyDescent="0.25">
      <c r="A19" s="294">
        <v>1</v>
      </c>
      <c r="B19" s="308" t="s">
        <v>163</v>
      </c>
      <c r="C19" s="290"/>
      <c r="D19" s="290"/>
      <c r="E19" s="290"/>
      <c r="F19" s="257"/>
      <c r="G19" s="288"/>
      <c r="H19" s="288"/>
      <c r="I19" s="288"/>
      <c r="J19" s="288"/>
      <c r="K19" s="288"/>
      <c r="L19" s="505"/>
      <c r="M19" s="257"/>
      <c r="N19" s="267">
        <v>7</v>
      </c>
      <c r="O19" s="267">
        <v>6.5</v>
      </c>
      <c r="P19" s="267">
        <v>5.5</v>
      </c>
      <c r="Q19" s="267">
        <v>7</v>
      </c>
      <c r="R19" s="267">
        <v>5.5</v>
      </c>
      <c r="S19" s="282">
        <v>5.2</v>
      </c>
      <c r="T19" s="267">
        <v>6.5</v>
      </c>
      <c r="U19" s="267">
        <v>4</v>
      </c>
      <c r="V19" s="268">
        <f t="shared" ref="V19:V24" si="2">SUM(N19:U19)</f>
        <v>47.2</v>
      </c>
      <c r="W19" s="269"/>
      <c r="X19" s="257"/>
      <c r="Y19" s="267">
        <v>5</v>
      </c>
      <c r="Z19" s="267">
        <v>6.5</v>
      </c>
      <c r="AA19" s="267">
        <v>5.3</v>
      </c>
      <c r="AB19" s="267">
        <v>6</v>
      </c>
      <c r="AC19" s="267">
        <v>5.5</v>
      </c>
      <c r="AD19" s="267">
        <v>5.5</v>
      </c>
      <c r="AE19" s="267">
        <v>6.5</v>
      </c>
      <c r="AF19" s="267">
        <v>6.2</v>
      </c>
      <c r="AG19" s="268">
        <f t="shared" ref="AG19:AG24" si="3">SUM(Y19:AF19)</f>
        <v>46.5</v>
      </c>
      <c r="AH19" s="269"/>
      <c r="AI19" s="409"/>
      <c r="AJ19" s="266"/>
      <c r="AK19" s="266"/>
      <c r="AL19" s="257"/>
      <c r="AM19" s="266"/>
      <c r="AN19" s="274"/>
      <c r="AO19" s="288"/>
    </row>
    <row r="20" spans="1:41" ht="15" x14ac:dyDescent="0.25">
      <c r="A20" s="294">
        <v>2</v>
      </c>
      <c r="B20" s="308" t="s">
        <v>164</v>
      </c>
      <c r="C20" s="290"/>
      <c r="D20" s="290"/>
      <c r="E20" s="290"/>
      <c r="F20" s="257"/>
      <c r="G20" s="288"/>
      <c r="H20" s="288"/>
      <c r="I20" s="288"/>
      <c r="J20" s="288"/>
      <c r="K20" s="288"/>
      <c r="L20" s="269"/>
      <c r="M20" s="257"/>
      <c r="N20" s="267">
        <v>6</v>
      </c>
      <c r="O20" s="267">
        <v>6.5</v>
      </c>
      <c r="P20" s="267">
        <v>6</v>
      </c>
      <c r="Q20" s="267">
        <v>7</v>
      </c>
      <c r="R20" s="267">
        <v>6</v>
      </c>
      <c r="S20" s="267">
        <v>6.2</v>
      </c>
      <c r="T20" s="267">
        <v>7.5</v>
      </c>
      <c r="U20" s="267">
        <v>7.5</v>
      </c>
      <c r="V20" s="268">
        <f t="shared" si="2"/>
        <v>52.7</v>
      </c>
      <c r="W20" s="269"/>
      <c r="X20" s="257"/>
      <c r="Y20" s="267">
        <v>6.2</v>
      </c>
      <c r="Z20" s="267">
        <v>6</v>
      </c>
      <c r="AA20" s="267">
        <v>4.7</v>
      </c>
      <c r="AB20" s="267">
        <v>5.7</v>
      </c>
      <c r="AC20" s="267">
        <v>4</v>
      </c>
      <c r="AD20" s="267">
        <v>4.2</v>
      </c>
      <c r="AE20" s="267">
        <v>6.3</v>
      </c>
      <c r="AF20" s="267">
        <v>6</v>
      </c>
      <c r="AG20" s="268">
        <f t="shared" si="3"/>
        <v>43.099999999999994</v>
      </c>
      <c r="AH20" s="269"/>
      <c r="AI20" s="409"/>
      <c r="AJ20" s="266"/>
      <c r="AK20" s="266"/>
      <c r="AL20" s="257"/>
      <c r="AM20" s="266"/>
      <c r="AN20" s="257"/>
      <c r="AO20" s="288"/>
    </row>
    <row r="21" spans="1:41" ht="15" x14ac:dyDescent="0.25">
      <c r="A21" s="294">
        <v>3</v>
      </c>
      <c r="B21" s="308" t="s">
        <v>165</v>
      </c>
      <c r="C21" s="290"/>
      <c r="D21" s="290"/>
      <c r="E21" s="290"/>
      <c r="F21" s="257"/>
      <c r="G21" s="288"/>
      <c r="H21" s="288"/>
      <c r="I21" s="288"/>
      <c r="J21" s="288"/>
      <c r="K21" s="288"/>
      <c r="L21" s="269"/>
      <c r="M21" s="257"/>
      <c r="N21" s="267">
        <v>5.5</v>
      </c>
      <c r="O21" s="267">
        <v>6.5</v>
      </c>
      <c r="P21" s="267">
        <v>5</v>
      </c>
      <c r="Q21" s="267">
        <v>6.2</v>
      </c>
      <c r="R21" s="267">
        <v>5.8</v>
      </c>
      <c r="S21" s="267">
        <v>6.2</v>
      </c>
      <c r="T21" s="267">
        <v>7.5</v>
      </c>
      <c r="U21" s="267">
        <v>7.5</v>
      </c>
      <c r="V21" s="268">
        <f t="shared" si="2"/>
        <v>50.2</v>
      </c>
      <c r="W21" s="269"/>
      <c r="X21" s="257"/>
      <c r="Y21" s="267">
        <v>4.7</v>
      </c>
      <c r="Z21" s="267">
        <v>5.3</v>
      </c>
      <c r="AA21" s="267">
        <v>5</v>
      </c>
      <c r="AB21" s="267">
        <v>4.7</v>
      </c>
      <c r="AC21" s="267">
        <v>4</v>
      </c>
      <c r="AD21" s="267">
        <v>4</v>
      </c>
      <c r="AE21" s="267">
        <v>6</v>
      </c>
      <c r="AF21" s="267">
        <v>5.7</v>
      </c>
      <c r="AG21" s="268">
        <f t="shared" si="3"/>
        <v>39.400000000000006</v>
      </c>
      <c r="AH21" s="269"/>
      <c r="AI21" s="409"/>
      <c r="AJ21" s="266"/>
      <c r="AK21" s="266"/>
      <c r="AL21" s="257"/>
      <c r="AM21" s="266"/>
      <c r="AN21" s="257"/>
      <c r="AO21" s="288"/>
    </row>
    <row r="22" spans="1:41" ht="15" x14ac:dyDescent="0.25">
      <c r="A22" s="294">
        <v>4</v>
      </c>
      <c r="B22" s="308" t="s">
        <v>166</v>
      </c>
      <c r="C22" s="290"/>
      <c r="D22" s="290"/>
      <c r="E22" s="290"/>
      <c r="F22" s="257"/>
      <c r="G22" s="288"/>
      <c r="H22" s="288"/>
      <c r="I22" s="288"/>
      <c r="J22" s="288"/>
      <c r="K22" s="288"/>
      <c r="L22" s="269"/>
      <c r="M22" s="257"/>
      <c r="N22" s="267">
        <v>7.5</v>
      </c>
      <c r="O22" s="267">
        <v>6.5</v>
      </c>
      <c r="P22" s="267">
        <v>5.5</v>
      </c>
      <c r="Q22" s="267">
        <v>7</v>
      </c>
      <c r="R22" s="267">
        <v>4.5</v>
      </c>
      <c r="S22" s="267">
        <v>4.5</v>
      </c>
      <c r="T22" s="267">
        <v>6.8</v>
      </c>
      <c r="U22" s="267">
        <v>7.5</v>
      </c>
      <c r="V22" s="268">
        <f t="shared" si="2"/>
        <v>49.8</v>
      </c>
      <c r="W22" s="269"/>
      <c r="X22" s="257"/>
      <c r="Y22" s="267">
        <v>6</v>
      </c>
      <c r="Z22" s="267">
        <v>5.7</v>
      </c>
      <c r="AA22" s="267">
        <v>5.7</v>
      </c>
      <c r="AB22" s="267">
        <v>6.2</v>
      </c>
      <c r="AC22" s="267">
        <v>5.3</v>
      </c>
      <c r="AD22" s="267">
        <v>6</v>
      </c>
      <c r="AE22" s="267">
        <v>6</v>
      </c>
      <c r="AF22" s="267">
        <v>5.3</v>
      </c>
      <c r="AG22" s="268">
        <f t="shared" si="3"/>
        <v>46.199999999999996</v>
      </c>
      <c r="AH22" s="269"/>
      <c r="AI22" s="409"/>
      <c r="AJ22" s="266"/>
      <c r="AK22" s="266"/>
      <c r="AL22" s="257"/>
      <c r="AM22" s="266"/>
      <c r="AN22" s="257"/>
      <c r="AO22" s="288"/>
    </row>
    <row r="23" spans="1:41" ht="15" x14ac:dyDescent="0.25">
      <c r="A23" s="294">
        <v>5</v>
      </c>
      <c r="B23" s="308" t="s">
        <v>167</v>
      </c>
      <c r="C23" s="290"/>
      <c r="D23" s="290"/>
      <c r="E23" s="290"/>
      <c r="F23" s="257"/>
      <c r="G23" s="288"/>
      <c r="H23" s="288"/>
      <c r="I23" s="288"/>
      <c r="J23" s="288"/>
      <c r="K23" s="288"/>
      <c r="L23" s="269"/>
      <c r="M23" s="257"/>
      <c r="N23" s="267">
        <v>4.5</v>
      </c>
      <c r="O23" s="267">
        <v>6.5</v>
      </c>
      <c r="P23" s="267">
        <v>5</v>
      </c>
      <c r="Q23" s="267">
        <v>6</v>
      </c>
      <c r="R23" s="267">
        <v>5</v>
      </c>
      <c r="S23" s="267">
        <v>4.8</v>
      </c>
      <c r="T23" s="267">
        <v>6.2</v>
      </c>
      <c r="U23" s="267">
        <v>6.2</v>
      </c>
      <c r="V23" s="268">
        <f t="shared" si="2"/>
        <v>44.2</v>
      </c>
      <c r="W23" s="269"/>
      <c r="X23" s="257"/>
      <c r="Y23" s="267">
        <v>4.5</v>
      </c>
      <c r="Z23" s="267">
        <v>5.3</v>
      </c>
      <c r="AA23" s="267">
        <v>5.2</v>
      </c>
      <c r="AB23" s="267">
        <v>6</v>
      </c>
      <c r="AC23" s="267">
        <v>5</v>
      </c>
      <c r="AD23" s="267">
        <v>5</v>
      </c>
      <c r="AE23" s="267">
        <v>6</v>
      </c>
      <c r="AF23" s="267">
        <v>6.2</v>
      </c>
      <c r="AG23" s="268">
        <f t="shared" si="3"/>
        <v>43.2</v>
      </c>
      <c r="AH23" s="269"/>
      <c r="AI23" s="409"/>
      <c r="AJ23" s="266"/>
      <c r="AK23" s="266"/>
      <c r="AL23" s="257"/>
      <c r="AM23" s="266"/>
      <c r="AN23" s="257"/>
      <c r="AO23" s="288"/>
    </row>
    <row r="24" spans="1:41" ht="15" x14ac:dyDescent="0.25">
      <c r="A24" s="294">
        <v>6</v>
      </c>
      <c r="B24" s="403" t="s">
        <v>157</v>
      </c>
      <c r="C24" s="290"/>
      <c r="D24" s="290"/>
      <c r="E24" s="290"/>
      <c r="F24" s="257"/>
      <c r="G24" s="288"/>
      <c r="H24" s="288"/>
      <c r="I24" s="288"/>
      <c r="J24" s="288"/>
      <c r="K24" s="288"/>
      <c r="L24" s="269"/>
      <c r="M24" s="257"/>
      <c r="N24" s="267">
        <v>6.5</v>
      </c>
      <c r="O24" s="267">
        <v>6.2</v>
      </c>
      <c r="P24" s="267">
        <v>7</v>
      </c>
      <c r="Q24" s="267">
        <v>6.5</v>
      </c>
      <c r="R24" s="267">
        <v>6</v>
      </c>
      <c r="S24" s="267">
        <v>6.5</v>
      </c>
      <c r="T24" s="267">
        <v>7.5</v>
      </c>
      <c r="U24" s="267">
        <v>8</v>
      </c>
      <c r="V24" s="268">
        <f t="shared" si="2"/>
        <v>54.2</v>
      </c>
      <c r="W24" s="269"/>
      <c r="X24" s="257"/>
      <c r="Y24" s="267">
        <v>6.5</v>
      </c>
      <c r="Z24" s="267">
        <v>6.7</v>
      </c>
      <c r="AA24" s="267">
        <v>6.3</v>
      </c>
      <c r="AB24" s="267">
        <v>6.2</v>
      </c>
      <c r="AC24" s="267">
        <v>6.5</v>
      </c>
      <c r="AD24" s="267">
        <v>6.5</v>
      </c>
      <c r="AE24" s="267">
        <v>6.7</v>
      </c>
      <c r="AF24" s="267">
        <v>6.2</v>
      </c>
      <c r="AG24" s="268">
        <f t="shared" si="3"/>
        <v>51.600000000000009</v>
      </c>
      <c r="AH24" s="269"/>
      <c r="AI24" s="409"/>
      <c r="AJ24" s="266"/>
      <c r="AK24" s="266"/>
      <c r="AL24" s="257"/>
      <c r="AM24" s="266"/>
      <c r="AN24" s="257"/>
      <c r="AO24" s="288"/>
    </row>
    <row r="25" spans="1:41" ht="15" x14ac:dyDescent="0.25">
      <c r="A25" s="295"/>
      <c r="B25" s="291"/>
      <c r="C25" s="309" t="s">
        <v>168</v>
      </c>
      <c r="D25" s="309" t="s">
        <v>169</v>
      </c>
      <c r="E25" s="309" t="s">
        <v>141</v>
      </c>
      <c r="F25" s="303"/>
      <c r="G25" s="298">
        <v>6.4</v>
      </c>
      <c r="H25" s="298">
        <v>6.8</v>
      </c>
      <c r="I25" s="298">
        <v>6.5</v>
      </c>
      <c r="J25" s="298">
        <v>6.8</v>
      </c>
      <c r="K25" s="298">
        <v>8.5</v>
      </c>
      <c r="L25" s="301">
        <f>SUM((G25*0.1),(H25*0.1),(I25*0.3),(J25*0.3),(K25*0.2))</f>
        <v>7.0100000000000007</v>
      </c>
      <c r="M25" s="299"/>
      <c r="N25" s="495"/>
      <c r="O25" s="495"/>
      <c r="P25" s="495"/>
      <c r="Q25" s="495"/>
      <c r="R25" s="495"/>
      <c r="S25" s="495"/>
      <c r="T25" s="525" t="s">
        <v>29</v>
      </c>
      <c r="U25" s="525"/>
      <c r="V25" s="304">
        <f>SUM(V19:V24)</f>
        <v>298.3</v>
      </c>
      <c r="W25" s="304">
        <f>(V25/6)/8</f>
        <v>6.2145833333333336</v>
      </c>
      <c r="X25" s="303"/>
      <c r="Y25" s="495"/>
      <c r="Z25" s="495"/>
      <c r="AA25" s="495"/>
      <c r="AB25" s="495"/>
      <c r="AC25" s="495"/>
      <c r="AD25" s="495"/>
      <c r="AE25" s="525" t="s">
        <v>29</v>
      </c>
      <c r="AF25" s="525"/>
      <c r="AG25" s="304">
        <f>SUM(AG19:AG24)</f>
        <v>270</v>
      </c>
      <c r="AH25" s="304">
        <f>(AG25/6)/8</f>
        <v>5.625</v>
      </c>
      <c r="AI25" s="408">
        <f>L25</f>
        <v>7.0100000000000007</v>
      </c>
      <c r="AJ25" s="405">
        <f>W25</f>
        <v>6.2145833333333336</v>
      </c>
      <c r="AK25" s="405">
        <f>AH25</f>
        <v>5.625</v>
      </c>
      <c r="AL25" s="299"/>
      <c r="AM25" s="301">
        <f>SUM((L25*0.25)+(W25*0.375)+(AH25*0.375))</f>
        <v>6.19234375</v>
      </c>
      <c r="AN25" s="310"/>
      <c r="AO25" s="305">
        <v>2</v>
      </c>
    </row>
    <row r="26" spans="1:41" ht="15" x14ac:dyDescent="0.25">
      <c r="A26" s="294">
        <v>1</v>
      </c>
      <c r="B26" s="308" t="s">
        <v>170</v>
      </c>
      <c r="C26" s="290"/>
      <c r="D26" s="290"/>
      <c r="E26" s="290"/>
      <c r="F26" s="257"/>
      <c r="G26" s="288"/>
      <c r="H26" s="288"/>
      <c r="I26" s="288"/>
      <c r="J26" s="288"/>
      <c r="K26" s="288"/>
      <c r="L26" s="505"/>
      <c r="M26" s="257"/>
      <c r="N26" s="267">
        <v>6</v>
      </c>
      <c r="O26" s="267">
        <v>6</v>
      </c>
      <c r="P26" s="267">
        <v>3.5</v>
      </c>
      <c r="Q26" s="267">
        <v>5</v>
      </c>
      <c r="R26" s="267">
        <v>4</v>
      </c>
      <c r="S26" s="282">
        <v>4</v>
      </c>
      <c r="T26" s="267">
        <v>5.5</v>
      </c>
      <c r="U26" s="267">
        <v>6.5</v>
      </c>
      <c r="V26" s="268">
        <f t="shared" ref="V26:V31" si="4">SUM(N26:U26)</f>
        <v>40.5</v>
      </c>
      <c r="W26" s="269"/>
      <c r="X26" s="257"/>
      <c r="Y26" s="267">
        <v>6.2</v>
      </c>
      <c r="Z26" s="267">
        <v>4.7</v>
      </c>
      <c r="AA26" s="267">
        <v>4.5</v>
      </c>
      <c r="AB26" s="267">
        <v>4.5</v>
      </c>
      <c r="AC26" s="267">
        <v>4</v>
      </c>
      <c r="AD26" s="267">
        <v>3</v>
      </c>
      <c r="AE26" s="267">
        <v>5</v>
      </c>
      <c r="AF26" s="267">
        <v>3.5</v>
      </c>
      <c r="AG26" s="268">
        <f t="shared" ref="AG26:AG31" si="5">SUM(Y26:AF26)</f>
        <v>35.4</v>
      </c>
      <c r="AH26" s="269"/>
      <c r="AI26" s="409"/>
      <c r="AJ26" s="266"/>
      <c r="AK26" s="266"/>
      <c r="AL26" s="257"/>
      <c r="AM26" s="266"/>
      <c r="AN26" s="274"/>
      <c r="AO26" s="288"/>
    </row>
    <row r="27" spans="1:41" ht="15" x14ac:dyDescent="0.25">
      <c r="A27" s="294">
        <v>2</v>
      </c>
      <c r="B27" s="308" t="s">
        <v>171</v>
      </c>
      <c r="C27" s="290"/>
      <c r="D27" s="290"/>
      <c r="E27" s="290"/>
      <c r="F27" s="257"/>
      <c r="G27" s="288"/>
      <c r="H27" s="288"/>
      <c r="I27" s="288"/>
      <c r="J27" s="288"/>
      <c r="K27" s="288"/>
      <c r="L27" s="269"/>
      <c r="M27" s="257"/>
      <c r="N27" s="267">
        <v>7.5</v>
      </c>
      <c r="O27" s="267">
        <v>8</v>
      </c>
      <c r="P27" s="267">
        <v>6</v>
      </c>
      <c r="Q27" s="267">
        <v>6</v>
      </c>
      <c r="R27" s="267">
        <v>7</v>
      </c>
      <c r="S27" s="267">
        <v>7.5</v>
      </c>
      <c r="T27" s="267">
        <v>7</v>
      </c>
      <c r="U27" s="267">
        <v>8</v>
      </c>
      <c r="V27" s="268">
        <f t="shared" si="4"/>
        <v>57</v>
      </c>
      <c r="W27" s="269"/>
      <c r="X27" s="257"/>
      <c r="Y27" s="267">
        <v>7</v>
      </c>
      <c r="Z27" s="267">
        <v>7</v>
      </c>
      <c r="AA27" s="267">
        <v>6.8</v>
      </c>
      <c r="AB27" s="267">
        <v>6.5</v>
      </c>
      <c r="AC27" s="267">
        <v>5.5</v>
      </c>
      <c r="AD27" s="267">
        <v>5.5</v>
      </c>
      <c r="AE27" s="267">
        <v>6</v>
      </c>
      <c r="AF27" s="267">
        <v>6</v>
      </c>
      <c r="AG27" s="268">
        <f t="shared" si="5"/>
        <v>50.3</v>
      </c>
      <c r="AH27" s="269"/>
      <c r="AI27" s="409"/>
      <c r="AJ27" s="266"/>
      <c r="AK27" s="266"/>
      <c r="AL27" s="257"/>
      <c r="AM27" s="266"/>
      <c r="AN27" s="257"/>
      <c r="AO27" s="288"/>
    </row>
    <row r="28" spans="1:41" ht="15" x14ac:dyDescent="0.25">
      <c r="A28" s="294">
        <v>3</v>
      </c>
      <c r="B28" s="308" t="s">
        <v>172</v>
      </c>
      <c r="C28" s="290"/>
      <c r="D28" s="290"/>
      <c r="E28" s="290"/>
      <c r="F28" s="257"/>
      <c r="G28" s="288"/>
      <c r="H28" s="288"/>
      <c r="I28" s="288"/>
      <c r="J28" s="288"/>
      <c r="K28" s="288"/>
      <c r="L28" s="269"/>
      <c r="M28" s="257"/>
      <c r="N28" s="267">
        <v>6.5</v>
      </c>
      <c r="O28" s="267">
        <v>6</v>
      </c>
      <c r="P28" s="267">
        <v>7.5</v>
      </c>
      <c r="Q28" s="267">
        <v>5</v>
      </c>
      <c r="R28" s="267">
        <v>5.5</v>
      </c>
      <c r="S28" s="267">
        <v>5</v>
      </c>
      <c r="T28" s="267">
        <v>6.5</v>
      </c>
      <c r="U28" s="267">
        <v>7.5</v>
      </c>
      <c r="V28" s="268">
        <f t="shared" si="4"/>
        <v>49.5</v>
      </c>
      <c r="W28" s="269"/>
      <c r="X28" s="257"/>
      <c r="Y28" s="267">
        <v>5.3</v>
      </c>
      <c r="Z28" s="267">
        <v>5.5</v>
      </c>
      <c r="AA28" s="267">
        <v>5.3</v>
      </c>
      <c r="AB28" s="267">
        <v>5.2</v>
      </c>
      <c r="AC28" s="267">
        <v>3.7</v>
      </c>
      <c r="AD28" s="267">
        <v>3.7</v>
      </c>
      <c r="AE28" s="267">
        <v>6.2</v>
      </c>
      <c r="AF28" s="267">
        <v>5.5</v>
      </c>
      <c r="AG28" s="268">
        <f t="shared" si="5"/>
        <v>40.4</v>
      </c>
      <c r="AH28" s="269"/>
      <c r="AI28" s="409"/>
      <c r="AJ28" s="266"/>
      <c r="AK28" s="266"/>
      <c r="AL28" s="257"/>
      <c r="AM28" s="266"/>
      <c r="AN28" s="257"/>
      <c r="AO28" s="288"/>
    </row>
    <row r="29" spans="1:41" ht="15" x14ac:dyDescent="0.25">
      <c r="A29" s="294">
        <v>4</v>
      </c>
      <c r="B29" s="308" t="s">
        <v>173</v>
      </c>
      <c r="C29" s="290"/>
      <c r="D29" s="290"/>
      <c r="E29" s="290"/>
      <c r="F29" s="257"/>
      <c r="G29" s="288"/>
      <c r="H29" s="288"/>
      <c r="I29" s="288"/>
      <c r="J29" s="288"/>
      <c r="K29" s="288"/>
      <c r="L29" s="269"/>
      <c r="M29" s="257"/>
      <c r="N29" s="267">
        <v>4</v>
      </c>
      <c r="O29" s="267">
        <v>5.5</v>
      </c>
      <c r="P29" s="267">
        <v>5.5</v>
      </c>
      <c r="Q29" s="267">
        <v>6.2</v>
      </c>
      <c r="R29" s="267">
        <v>5.5</v>
      </c>
      <c r="S29" s="267">
        <v>5</v>
      </c>
      <c r="T29" s="267">
        <v>6.5</v>
      </c>
      <c r="U29" s="267">
        <v>5.5</v>
      </c>
      <c r="V29" s="268">
        <f t="shared" si="4"/>
        <v>43.7</v>
      </c>
      <c r="W29" s="269"/>
      <c r="X29" s="257"/>
      <c r="Y29" s="267">
        <v>4.5</v>
      </c>
      <c r="Z29" s="267">
        <v>5</v>
      </c>
      <c r="AA29" s="267">
        <v>5.3</v>
      </c>
      <c r="AB29" s="267">
        <v>5</v>
      </c>
      <c r="AC29" s="267">
        <v>4.3</v>
      </c>
      <c r="AD29" s="267">
        <v>4</v>
      </c>
      <c r="AE29" s="267">
        <v>6</v>
      </c>
      <c r="AF29" s="267">
        <v>5.2</v>
      </c>
      <c r="AG29" s="268">
        <f t="shared" si="5"/>
        <v>39.300000000000004</v>
      </c>
      <c r="AH29" s="269"/>
      <c r="AI29" s="409"/>
      <c r="AJ29" s="266"/>
      <c r="AK29" s="266"/>
      <c r="AL29" s="257"/>
      <c r="AM29" s="266"/>
      <c r="AN29" s="257"/>
      <c r="AO29" s="288"/>
    </row>
    <row r="30" spans="1:41" ht="15" x14ac:dyDescent="0.25">
      <c r="A30" s="294">
        <v>5</v>
      </c>
      <c r="B30" s="308" t="s">
        <v>113</v>
      </c>
      <c r="C30" s="290"/>
      <c r="D30" s="290"/>
      <c r="E30" s="290"/>
      <c r="F30" s="257"/>
      <c r="G30" s="288"/>
      <c r="H30" s="288"/>
      <c r="I30" s="288"/>
      <c r="J30" s="288"/>
      <c r="K30" s="288"/>
      <c r="L30" s="269"/>
      <c r="M30" s="257"/>
      <c r="N30" s="267">
        <v>3</v>
      </c>
      <c r="O30" s="267">
        <v>4</v>
      </c>
      <c r="P30" s="267">
        <v>4</v>
      </c>
      <c r="Q30" s="267">
        <v>5</v>
      </c>
      <c r="R30" s="267">
        <v>4.5</v>
      </c>
      <c r="S30" s="267">
        <v>4</v>
      </c>
      <c r="T30" s="267">
        <v>4</v>
      </c>
      <c r="U30" s="267">
        <v>6</v>
      </c>
      <c r="V30" s="268">
        <f t="shared" si="4"/>
        <v>34.5</v>
      </c>
      <c r="W30" s="269"/>
      <c r="X30" s="257"/>
      <c r="Y30" s="267">
        <v>2.5</v>
      </c>
      <c r="Z30" s="267">
        <v>1</v>
      </c>
      <c r="AA30" s="267">
        <v>3</v>
      </c>
      <c r="AB30" s="267">
        <v>3</v>
      </c>
      <c r="AC30" s="267">
        <v>2</v>
      </c>
      <c r="AD30" s="267">
        <v>2.5</v>
      </c>
      <c r="AE30" s="267">
        <v>4.7</v>
      </c>
      <c r="AF30" s="267">
        <v>4.7</v>
      </c>
      <c r="AG30" s="268">
        <f t="shared" si="5"/>
        <v>23.4</v>
      </c>
      <c r="AH30" s="269"/>
      <c r="AI30" s="409"/>
      <c r="AJ30" s="266"/>
      <c r="AK30" s="266"/>
      <c r="AL30" s="257"/>
      <c r="AM30" s="266"/>
      <c r="AN30" s="257"/>
      <c r="AO30" s="288"/>
    </row>
    <row r="31" spans="1:41" ht="15" x14ac:dyDescent="0.25">
      <c r="A31" s="294">
        <v>6</v>
      </c>
      <c r="B31" s="308" t="s">
        <v>174</v>
      </c>
      <c r="C31" s="290"/>
      <c r="D31" s="290"/>
      <c r="E31" s="290"/>
      <c r="F31" s="257"/>
      <c r="G31" s="288"/>
      <c r="H31" s="288"/>
      <c r="I31" s="288"/>
      <c r="J31" s="288"/>
      <c r="K31" s="288"/>
      <c r="L31" s="269"/>
      <c r="M31" s="257"/>
      <c r="N31" s="267">
        <v>7.5</v>
      </c>
      <c r="O31" s="267">
        <v>6.5</v>
      </c>
      <c r="P31" s="267">
        <v>6.2</v>
      </c>
      <c r="Q31" s="267">
        <v>6.5</v>
      </c>
      <c r="R31" s="267">
        <v>6.2</v>
      </c>
      <c r="S31" s="267">
        <v>6.5</v>
      </c>
      <c r="T31" s="267">
        <v>7</v>
      </c>
      <c r="U31" s="267">
        <v>7.5</v>
      </c>
      <c r="V31" s="268">
        <f t="shared" si="4"/>
        <v>53.9</v>
      </c>
      <c r="W31" s="269"/>
      <c r="X31" s="257"/>
      <c r="Y31" s="267">
        <v>6.5</v>
      </c>
      <c r="Z31" s="267">
        <v>6.5</v>
      </c>
      <c r="AA31" s="267">
        <v>6</v>
      </c>
      <c r="AB31" s="267">
        <v>6</v>
      </c>
      <c r="AC31" s="267">
        <v>6.5</v>
      </c>
      <c r="AD31" s="267">
        <v>6.5</v>
      </c>
      <c r="AE31" s="267">
        <v>6.5</v>
      </c>
      <c r="AF31" s="267">
        <v>6.2</v>
      </c>
      <c r="AG31" s="268">
        <f t="shared" si="5"/>
        <v>50.7</v>
      </c>
      <c r="AH31" s="269"/>
      <c r="AI31" s="409"/>
      <c r="AJ31" s="266"/>
      <c r="AK31" s="266"/>
      <c r="AL31" s="257"/>
      <c r="AM31" s="266"/>
      <c r="AN31" s="257"/>
      <c r="AO31" s="288"/>
    </row>
    <row r="32" spans="1:41" ht="15" x14ac:dyDescent="0.25">
      <c r="A32" s="295"/>
      <c r="B32" s="291"/>
      <c r="C32" s="309" t="s">
        <v>175</v>
      </c>
      <c r="D32" s="309" t="s">
        <v>176</v>
      </c>
      <c r="E32" s="309" t="s">
        <v>177</v>
      </c>
      <c r="F32" s="303"/>
      <c r="G32" s="298">
        <v>6.8</v>
      </c>
      <c r="H32" s="298">
        <v>6.8</v>
      </c>
      <c r="I32" s="509">
        <v>7</v>
      </c>
      <c r="J32" s="298">
        <v>7.3</v>
      </c>
      <c r="K32" s="509">
        <v>8</v>
      </c>
      <c r="L32" s="301">
        <f>SUM((G32*0.1),(H32*0.1),(I32*0.3),(J32*0.3),(K32*0.2))</f>
        <v>7.25</v>
      </c>
      <c r="M32" s="299"/>
      <c r="N32" s="495"/>
      <c r="O32" s="495"/>
      <c r="P32" s="495"/>
      <c r="Q32" s="495"/>
      <c r="R32" s="495"/>
      <c r="S32" s="495"/>
      <c r="T32" s="525" t="s">
        <v>29</v>
      </c>
      <c r="U32" s="525"/>
      <c r="V32" s="304">
        <f>SUM(V26:V31)</f>
        <v>279.09999999999997</v>
      </c>
      <c r="W32" s="304">
        <f>(V32/6)/8</f>
        <v>5.8145833333333323</v>
      </c>
      <c r="X32" s="303"/>
      <c r="Y32" s="495"/>
      <c r="Z32" s="495"/>
      <c r="AA32" s="495"/>
      <c r="AB32" s="495"/>
      <c r="AC32" s="495"/>
      <c r="AD32" s="495"/>
      <c r="AE32" s="525" t="s">
        <v>29</v>
      </c>
      <c r="AF32" s="525"/>
      <c r="AG32" s="304">
        <f>SUM(AG26:AG31)</f>
        <v>239.5</v>
      </c>
      <c r="AH32" s="411">
        <f>(AG32/6)/8</f>
        <v>4.989583333333333</v>
      </c>
      <c r="AI32" s="408">
        <f>L32</f>
        <v>7.25</v>
      </c>
      <c r="AJ32" s="405">
        <f>W32</f>
        <v>5.8145833333333323</v>
      </c>
      <c r="AK32" s="405">
        <f>AH32</f>
        <v>4.989583333333333</v>
      </c>
      <c r="AL32" s="272"/>
      <c r="AM32" s="273">
        <f>SUM((L32*0.25)+(W32*0.375)+(AH32*0.375))</f>
        <v>5.8640624999999993</v>
      </c>
      <c r="AN32" s="307"/>
      <c r="AO32" s="275">
        <v>3</v>
      </c>
    </row>
    <row r="33" spans="1:41" ht="15" x14ac:dyDescent="0.25">
      <c r="A33" s="294">
        <v>1</v>
      </c>
      <c r="B33" s="308" t="s">
        <v>106</v>
      </c>
      <c r="C33" s="290"/>
      <c r="D33" s="290"/>
      <c r="E33" s="290"/>
      <c r="F33" s="257"/>
      <c r="G33" s="288"/>
      <c r="H33" s="288"/>
      <c r="I33" s="288"/>
      <c r="J33" s="288"/>
      <c r="K33" s="288"/>
      <c r="L33" s="505"/>
      <c r="M33" s="257"/>
      <c r="N33" s="267">
        <v>4.8</v>
      </c>
      <c r="O33" s="267">
        <v>5</v>
      </c>
      <c r="P33" s="267">
        <v>5.5</v>
      </c>
      <c r="Q33" s="267">
        <v>6</v>
      </c>
      <c r="R33" s="267">
        <v>4.5</v>
      </c>
      <c r="S33" s="282">
        <v>5</v>
      </c>
      <c r="T33" s="267">
        <v>5.5</v>
      </c>
      <c r="U33" s="267">
        <v>6</v>
      </c>
      <c r="V33" s="268">
        <f t="shared" ref="V33:V38" si="6">SUM(N33:U33)</f>
        <v>42.3</v>
      </c>
      <c r="W33" s="269"/>
      <c r="X33" s="257"/>
      <c r="Y33" s="267">
        <v>5.3</v>
      </c>
      <c r="Z33" s="267">
        <v>6</v>
      </c>
      <c r="AA33" s="267">
        <v>6</v>
      </c>
      <c r="AB33" s="267">
        <v>6.2</v>
      </c>
      <c r="AC33" s="267">
        <v>5.7</v>
      </c>
      <c r="AD33" s="267">
        <v>5.5</v>
      </c>
      <c r="AE33" s="267">
        <v>6</v>
      </c>
      <c r="AF33" s="267">
        <v>6</v>
      </c>
      <c r="AG33" s="268">
        <f t="shared" ref="AG33:AG38" si="7">SUM(Y33:AF33)</f>
        <v>46.7</v>
      </c>
      <c r="AH33" s="269"/>
      <c r="AI33" s="409"/>
      <c r="AJ33" s="266"/>
      <c r="AK33" s="266"/>
      <c r="AL33" s="257"/>
      <c r="AM33" s="266"/>
      <c r="AN33" s="274"/>
      <c r="AO33" s="288"/>
    </row>
    <row r="34" spans="1:41" ht="15" x14ac:dyDescent="0.25">
      <c r="A34" s="294">
        <v>2</v>
      </c>
      <c r="B34" s="308" t="s">
        <v>110</v>
      </c>
      <c r="C34" s="290"/>
      <c r="D34" s="290"/>
      <c r="E34" s="290"/>
      <c r="F34" s="257"/>
      <c r="G34" s="288"/>
      <c r="H34" s="288"/>
      <c r="I34" s="288"/>
      <c r="J34" s="288"/>
      <c r="K34" s="288"/>
      <c r="L34" s="269"/>
      <c r="M34" s="257"/>
      <c r="N34" s="267">
        <v>4</v>
      </c>
      <c r="O34" s="267">
        <v>4.5</v>
      </c>
      <c r="P34" s="267">
        <v>5.5</v>
      </c>
      <c r="Q34" s="267">
        <v>7</v>
      </c>
      <c r="R34" s="267">
        <v>7</v>
      </c>
      <c r="S34" s="267">
        <v>7</v>
      </c>
      <c r="T34" s="267">
        <v>6.2</v>
      </c>
      <c r="U34" s="267">
        <v>6.5</v>
      </c>
      <c r="V34" s="268">
        <f t="shared" si="6"/>
        <v>47.7</v>
      </c>
      <c r="W34" s="269"/>
      <c r="X34" s="257"/>
      <c r="Y34" s="267">
        <v>4.7</v>
      </c>
      <c r="Z34" s="267">
        <v>4.5</v>
      </c>
      <c r="AA34" s="267">
        <v>4.7</v>
      </c>
      <c r="AB34" s="267">
        <v>5.7</v>
      </c>
      <c r="AC34" s="267">
        <v>5.5</v>
      </c>
      <c r="AD34" s="267">
        <v>5.5</v>
      </c>
      <c r="AE34" s="267">
        <v>5.5</v>
      </c>
      <c r="AF34" s="267">
        <v>5.3</v>
      </c>
      <c r="AG34" s="268">
        <f t="shared" si="7"/>
        <v>41.399999999999991</v>
      </c>
      <c r="AH34" s="269"/>
      <c r="AI34" s="409"/>
      <c r="AJ34" s="266"/>
      <c r="AK34" s="266"/>
      <c r="AL34" s="257"/>
      <c r="AM34" s="266"/>
      <c r="AN34" s="257"/>
      <c r="AO34" s="288"/>
    </row>
    <row r="35" spans="1:41" ht="15" x14ac:dyDescent="0.25">
      <c r="A35" s="294">
        <v>3</v>
      </c>
      <c r="B35" s="308" t="s">
        <v>159</v>
      </c>
      <c r="C35" s="290"/>
      <c r="D35" s="290"/>
      <c r="E35" s="290"/>
      <c r="F35" s="257"/>
      <c r="G35" s="288"/>
      <c r="H35" s="288"/>
      <c r="I35" s="288"/>
      <c r="J35" s="288"/>
      <c r="K35" s="288"/>
      <c r="L35" s="269"/>
      <c r="M35" s="257"/>
      <c r="N35" s="267">
        <v>5</v>
      </c>
      <c r="O35" s="267">
        <v>4.5</v>
      </c>
      <c r="P35" s="267">
        <v>5.5</v>
      </c>
      <c r="Q35" s="267">
        <v>5.5</v>
      </c>
      <c r="R35" s="267">
        <v>6</v>
      </c>
      <c r="S35" s="267">
        <v>5</v>
      </c>
      <c r="T35" s="267">
        <v>6.2</v>
      </c>
      <c r="U35" s="267">
        <v>6</v>
      </c>
      <c r="V35" s="268">
        <f t="shared" si="6"/>
        <v>43.7</v>
      </c>
      <c r="W35" s="269"/>
      <c r="X35" s="257"/>
      <c r="Y35" s="267">
        <v>5.7</v>
      </c>
      <c r="Z35" s="267">
        <v>5.5</v>
      </c>
      <c r="AA35" s="267">
        <v>6.2</v>
      </c>
      <c r="AB35" s="267">
        <v>6.2</v>
      </c>
      <c r="AC35" s="267">
        <v>4</v>
      </c>
      <c r="AD35" s="267">
        <v>4</v>
      </c>
      <c r="AE35" s="267">
        <v>6</v>
      </c>
      <c r="AF35" s="267">
        <v>5.3</v>
      </c>
      <c r="AG35" s="268">
        <f t="shared" si="7"/>
        <v>42.899999999999991</v>
      </c>
      <c r="AH35" s="269"/>
      <c r="AI35" s="409"/>
      <c r="AJ35" s="266"/>
      <c r="AK35" s="266"/>
      <c r="AL35" s="257"/>
      <c r="AM35" s="266"/>
      <c r="AN35" s="257"/>
      <c r="AO35" s="288"/>
    </row>
    <row r="36" spans="1:41" ht="15" x14ac:dyDescent="0.25">
      <c r="A36" s="294">
        <v>4</v>
      </c>
      <c r="B36" s="308" t="s">
        <v>160</v>
      </c>
      <c r="C36" s="290"/>
      <c r="D36" s="290"/>
      <c r="E36" s="290"/>
      <c r="F36" s="257"/>
      <c r="G36" s="288"/>
      <c r="H36" s="288"/>
      <c r="I36" s="288"/>
      <c r="J36" s="288"/>
      <c r="K36" s="288"/>
      <c r="L36" s="269"/>
      <c r="M36" s="257"/>
      <c r="N36" s="267">
        <v>6</v>
      </c>
      <c r="O36" s="267">
        <v>6</v>
      </c>
      <c r="P36" s="267">
        <v>7</v>
      </c>
      <c r="Q36" s="267">
        <v>5</v>
      </c>
      <c r="R36" s="267">
        <v>5.5</v>
      </c>
      <c r="S36" s="267">
        <v>6</v>
      </c>
      <c r="T36" s="267">
        <v>6.5</v>
      </c>
      <c r="U36" s="267">
        <v>6</v>
      </c>
      <c r="V36" s="268">
        <f t="shared" si="6"/>
        <v>48</v>
      </c>
      <c r="W36" s="269"/>
      <c r="X36" s="257"/>
      <c r="Y36" s="267">
        <v>6.3</v>
      </c>
      <c r="Z36" s="267">
        <v>6.5</v>
      </c>
      <c r="AA36" s="267">
        <v>6</v>
      </c>
      <c r="AB36" s="267">
        <v>6.5</v>
      </c>
      <c r="AC36" s="267">
        <v>6.5</v>
      </c>
      <c r="AD36" s="267">
        <v>7</v>
      </c>
      <c r="AE36" s="267">
        <v>7</v>
      </c>
      <c r="AF36" s="267">
        <v>6.3</v>
      </c>
      <c r="AG36" s="268">
        <f t="shared" si="7"/>
        <v>52.099999999999994</v>
      </c>
      <c r="AH36" s="269"/>
      <c r="AI36" s="409"/>
      <c r="AJ36" s="266"/>
      <c r="AK36" s="266"/>
      <c r="AL36" s="257"/>
      <c r="AM36" s="266"/>
      <c r="AN36" s="257"/>
      <c r="AO36" s="288"/>
    </row>
    <row r="37" spans="1:41" ht="15" x14ac:dyDescent="0.25">
      <c r="A37" s="294">
        <v>5</v>
      </c>
      <c r="B37" s="308" t="s">
        <v>161</v>
      </c>
      <c r="C37" s="290"/>
      <c r="D37" s="290"/>
      <c r="E37" s="290"/>
      <c r="F37" s="257"/>
      <c r="G37" s="288"/>
      <c r="H37" s="288"/>
      <c r="I37" s="288"/>
      <c r="J37" s="288"/>
      <c r="K37" s="288"/>
      <c r="L37" s="269"/>
      <c r="M37" s="257"/>
      <c r="N37" s="267">
        <v>5.5</v>
      </c>
      <c r="O37" s="267">
        <v>6.5</v>
      </c>
      <c r="P37" s="267">
        <v>6</v>
      </c>
      <c r="Q37" s="267">
        <v>5.5</v>
      </c>
      <c r="R37" s="267">
        <v>6</v>
      </c>
      <c r="S37" s="267">
        <v>5</v>
      </c>
      <c r="T37" s="267">
        <v>6</v>
      </c>
      <c r="U37" s="267">
        <v>7</v>
      </c>
      <c r="V37" s="268">
        <f t="shared" si="6"/>
        <v>47.5</v>
      </c>
      <c r="W37" s="269"/>
      <c r="X37" s="257"/>
      <c r="Y37" s="267">
        <v>5.2</v>
      </c>
      <c r="Z37" s="267">
        <v>5.3</v>
      </c>
      <c r="AA37" s="267">
        <v>5</v>
      </c>
      <c r="AB37" s="267">
        <v>5.5</v>
      </c>
      <c r="AC37" s="267">
        <v>4</v>
      </c>
      <c r="AD37" s="267">
        <v>4</v>
      </c>
      <c r="AE37" s="267">
        <v>5.7</v>
      </c>
      <c r="AF37" s="267">
        <v>5.5</v>
      </c>
      <c r="AG37" s="268">
        <f t="shared" si="7"/>
        <v>40.200000000000003</v>
      </c>
      <c r="AH37" s="269"/>
      <c r="AI37" s="409"/>
      <c r="AJ37" s="266"/>
      <c r="AK37" s="266"/>
      <c r="AL37" s="257"/>
      <c r="AM37" s="266"/>
      <c r="AN37" s="257"/>
      <c r="AO37" s="288"/>
    </row>
    <row r="38" spans="1:41" ht="15" x14ac:dyDescent="0.25">
      <c r="A38" s="294">
        <v>6</v>
      </c>
      <c r="B38" s="308" t="s">
        <v>111</v>
      </c>
      <c r="C38" s="290"/>
      <c r="D38" s="290"/>
      <c r="E38" s="290"/>
      <c r="F38" s="257"/>
      <c r="G38" s="288"/>
      <c r="H38" s="288"/>
      <c r="I38" s="288"/>
      <c r="J38" s="288"/>
      <c r="K38" s="288"/>
      <c r="L38" s="269"/>
      <c r="M38" s="257"/>
      <c r="N38" s="267">
        <v>4</v>
      </c>
      <c r="O38" s="267">
        <v>4.5</v>
      </c>
      <c r="P38" s="267">
        <v>4</v>
      </c>
      <c r="Q38" s="267">
        <v>4</v>
      </c>
      <c r="R38" s="267">
        <v>5</v>
      </c>
      <c r="S38" s="267">
        <v>4.5</v>
      </c>
      <c r="T38" s="267">
        <v>6</v>
      </c>
      <c r="U38" s="267">
        <v>5.5</v>
      </c>
      <c r="V38" s="268">
        <f t="shared" si="6"/>
        <v>37.5</v>
      </c>
      <c r="W38" s="269"/>
      <c r="X38" s="257"/>
      <c r="Y38" s="267">
        <v>4.7</v>
      </c>
      <c r="Z38" s="267">
        <v>5.2</v>
      </c>
      <c r="AA38" s="267">
        <v>5.5</v>
      </c>
      <c r="AB38" s="267">
        <v>5</v>
      </c>
      <c r="AC38" s="267">
        <v>4</v>
      </c>
      <c r="AD38" s="267">
        <v>4</v>
      </c>
      <c r="AE38" s="267">
        <v>5.2</v>
      </c>
      <c r="AF38" s="267">
        <v>5</v>
      </c>
      <c r="AG38" s="268">
        <f t="shared" si="7"/>
        <v>38.6</v>
      </c>
      <c r="AH38" s="269"/>
      <c r="AI38" s="409"/>
      <c r="AJ38" s="266"/>
      <c r="AK38" s="266"/>
      <c r="AL38" s="257"/>
      <c r="AM38" s="266"/>
      <c r="AN38" s="257"/>
      <c r="AO38" s="288"/>
    </row>
    <row r="39" spans="1:41" ht="15" x14ac:dyDescent="0.25">
      <c r="A39" s="295"/>
      <c r="B39" s="309" t="s">
        <v>162</v>
      </c>
      <c r="C39" s="309" t="s">
        <v>107</v>
      </c>
      <c r="D39" s="309" t="s">
        <v>108</v>
      </c>
      <c r="E39" s="309" t="s">
        <v>109</v>
      </c>
      <c r="F39" s="303"/>
      <c r="G39" s="298">
        <v>5.8</v>
      </c>
      <c r="H39" s="298">
        <v>5.6</v>
      </c>
      <c r="I39" s="298">
        <v>5.5</v>
      </c>
      <c r="J39" s="298">
        <v>5.8</v>
      </c>
      <c r="K39" s="509">
        <v>8</v>
      </c>
      <c r="L39" s="301">
        <f>SUM((G39*0.1),(H39*0.1),(I39*0.3),(J39*0.3),(K39*0.2))</f>
        <v>6.1300000000000008</v>
      </c>
      <c r="M39" s="299"/>
      <c r="N39" s="495"/>
      <c r="O39" s="495"/>
      <c r="P39" s="495"/>
      <c r="Q39" s="495"/>
      <c r="R39" s="495"/>
      <c r="S39" s="495"/>
      <c r="T39" s="525" t="s">
        <v>29</v>
      </c>
      <c r="U39" s="525"/>
      <c r="V39" s="304">
        <f>SUM(V33:V38)</f>
        <v>266.7</v>
      </c>
      <c r="W39" s="304">
        <f>(V39/6)/8</f>
        <v>5.5562499999999995</v>
      </c>
      <c r="X39" s="303"/>
      <c r="Y39" s="495"/>
      <c r="Z39" s="495"/>
      <c r="AA39" s="495"/>
      <c r="AB39" s="495"/>
      <c r="AC39" s="495"/>
      <c r="AD39" s="495"/>
      <c r="AE39" s="525" t="s">
        <v>29</v>
      </c>
      <c r="AF39" s="525"/>
      <c r="AG39" s="304">
        <f>SUM(AG33:AG38)</f>
        <v>261.90000000000003</v>
      </c>
      <c r="AH39" s="304">
        <f>(AG39/6)/8</f>
        <v>5.4562500000000007</v>
      </c>
      <c r="AI39" s="408">
        <f>L39</f>
        <v>6.1300000000000008</v>
      </c>
      <c r="AJ39" s="405">
        <f>W39</f>
        <v>5.5562499999999995</v>
      </c>
      <c r="AK39" s="405">
        <f>AH39</f>
        <v>5.4562500000000007</v>
      </c>
      <c r="AL39" s="299"/>
      <c r="AM39" s="301">
        <f>SUM((L39*0.25)+(W39*0.375)+(AH39*0.375))</f>
        <v>5.6621874999999999</v>
      </c>
      <c r="AN39" s="310"/>
      <c r="AO39" s="305">
        <v>4</v>
      </c>
    </row>
    <row r="40" spans="1:41" ht="15" x14ac:dyDescent="0.25">
      <c r="A40" s="494"/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264"/>
      <c r="AJ40" s="264"/>
      <c r="AK40" s="264"/>
      <c r="AL40" s="494"/>
      <c r="AM40" s="494"/>
      <c r="AN40" s="264"/>
      <c r="AO40" s="264"/>
    </row>
  </sheetData>
  <mergeCells count="9">
    <mergeCell ref="T39:U39"/>
    <mergeCell ref="AE39:AF39"/>
    <mergeCell ref="T25:U25"/>
    <mergeCell ref="AE25:AF25"/>
    <mergeCell ref="A3:B3"/>
    <mergeCell ref="T18:U18"/>
    <mergeCell ref="AE18:AF18"/>
    <mergeCell ref="T32:U32"/>
    <mergeCell ref="AE32:AF32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A028-4CD0-4AE0-86D3-D656ABCB3CDC}">
  <dimension ref="A1:X13"/>
  <sheetViews>
    <sheetView workbookViewId="0">
      <pane xSplit="2" topLeftCell="C1" activePane="topRight" state="frozen"/>
      <selection pane="topRight" activeCell="A10" sqref="A10"/>
    </sheetView>
  </sheetViews>
  <sheetFormatPr defaultRowHeight="12.75" x14ac:dyDescent="0.2"/>
  <cols>
    <col min="1" max="1" width="6.85546875" customWidth="1"/>
    <col min="2" max="2" width="15.7109375" customWidth="1"/>
    <col min="3" max="3" width="17.5703125" customWidth="1"/>
    <col min="4" max="4" width="15.140625" customWidth="1"/>
    <col min="12" max="12" width="2.42578125" customWidth="1"/>
    <col min="19" max="19" width="2.5703125" customWidth="1"/>
  </cols>
  <sheetData>
    <row r="1" spans="1:24" ht="15" x14ac:dyDescent="0.25">
      <c r="A1" s="2" t="str">
        <f>CompDetail!A1</f>
        <v>NSW State Championships</v>
      </c>
      <c r="B1" s="3"/>
      <c r="C1" s="3"/>
      <c r="D1" s="4" t="s">
        <v>0</v>
      </c>
      <c r="E1" s="4" t="s">
        <v>256</v>
      </c>
    </row>
    <row r="2" spans="1:24" ht="15" x14ac:dyDescent="0.25">
      <c r="A2" s="9"/>
      <c r="B2" s="3"/>
      <c r="C2" s="3"/>
      <c r="D2" s="4"/>
      <c r="E2" s="4" t="s">
        <v>257</v>
      </c>
    </row>
    <row r="3" spans="1:24" ht="15" x14ac:dyDescent="0.25">
      <c r="A3" s="516" t="str">
        <f>CompDetail!A3</f>
        <v>June 9 to 11 2018</v>
      </c>
      <c r="B3" s="517"/>
      <c r="C3" s="3"/>
      <c r="D3" s="4"/>
      <c r="E3" s="4"/>
    </row>
    <row r="4" spans="1:24" ht="15" x14ac:dyDescent="0.25">
      <c r="A4" s="374"/>
      <c r="B4" s="375"/>
      <c r="C4" s="5"/>
      <c r="D4" s="127"/>
      <c r="E4" s="127"/>
    </row>
    <row r="5" spans="1:24" ht="15.75" x14ac:dyDescent="0.25">
      <c r="A5" s="155" t="s">
        <v>231</v>
      </c>
      <c r="B5" s="173"/>
      <c r="C5" s="156"/>
      <c r="D5" s="173" t="s">
        <v>244</v>
      </c>
      <c r="E5" s="156"/>
    </row>
    <row r="7" spans="1:24" ht="15.75" x14ac:dyDescent="0.25">
      <c r="A7" s="155"/>
      <c r="B7" s="173"/>
      <c r="C7" s="156"/>
      <c r="D7" s="156"/>
      <c r="E7" s="156"/>
      <c r="F7" s="173" t="s">
        <v>58</v>
      </c>
      <c r="G7" s="158" t="str">
        <f>E1</f>
        <v>R Bruderer</v>
      </c>
      <c r="H7" s="156"/>
      <c r="I7" s="173"/>
      <c r="J7" s="156"/>
      <c r="K7" s="156"/>
      <c r="L7" s="156"/>
      <c r="M7" s="173" t="s">
        <v>57</v>
      </c>
      <c r="N7" s="156" t="str">
        <f>E2</f>
        <v>A Deeks</v>
      </c>
      <c r="O7" s="156"/>
      <c r="P7" s="158"/>
      <c r="Q7" s="156"/>
      <c r="R7" s="156"/>
      <c r="S7" s="156"/>
      <c r="T7" s="156"/>
      <c r="U7" s="156"/>
      <c r="V7" s="158"/>
      <c r="W7" s="156"/>
      <c r="X7" s="156"/>
    </row>
    <row r="8" spans="1:24" ht="15.75" x14ac:dyDescent="0.25">
      <c r="A8" s="162"/>
      <c r="B8" s="174"/>
      <c r="C8" s="156"/>
      <c r="D8" s="156"/>
      <c r="E8" s="156"/>
      <c r="F8" s="156"/>
      <c r="G8" s="158"/>
      <c r="H8" s="156"/>
      <c r="I8" s="156"/>
      <c r="J8" s="156"/>
      <c r="K8" s="156"/>
      <c r="L8" s="156"/>
      <c r="M8" s="156"/>
      <c r="N8" s="156"/>
      <c r="O8" s="156"/>
      <c r="P8" s="158"/>
      <c r="Q8" s="156"/>
      <c r="R8" s="156"/>
      <c r="S8" s="158"/>
      <c r="T8" s="156"/>
      <c r="U8" s="156"/>
      <c r="V8" s="158"/>
      <c r="W8" s="156"/>
      <c r="X8" s="156"/>
    </row>
    <row r="9" spans="1:24" ht="15" x14ac:dyDescent="0.25">
      <c r="A9" s="156"/>
      <c r="B9" s="156"/>
      <c r="C9" s="156"/>
      <c r="D9" s="156"/>
      <c r="E9" s="156"/>
      <c r="F9" s="173" t="s">
        <v>35</v>
      </c>
      <c r="G9" s="156"/>
      <c r="H9" s="156"/>
      <c r="I9" s="156"/>
      <c r="J9" s="156"/>
      <c r="K9" s="159"/>
      <c r="L9" s="175"/>
      <c r="M9" s="173" t="s">
        <v>35</v>
      </c>
      <c r="N9" s="156"/>
      <c r="O9" s="156"/>
      <c r="P9" s="156"/>
      <c r="Q9" s="156"/>
      <c r="R9" s="159"/>
      <c r="S9" s="158"/>
      <c r="T9" s="156"/>
      <c r="U9" s="156"/>
      <c r="V9" s="179" t="s">
        <v>63</v>
      </c>
      <c r="W9" s="180"/>
      <c r="X9" s="156"/>
    </row>
    <row r="10" spans="1:24" ht="15" x14ac:dyDescent="0.25">
      <c r="A10" s="181" t="s">
        <v>33</v>
      </c>
      <c r="B10" s="181" t="s">
        <v>34</v>
      </c>
      <c r="C10" s="181" t="s">
        <v>35</v>
      </c>
      <c r="D10" s="181" t="s">
        <v>36</v>
      </c>
      <c r="E10" s="181" t="s">
        <v>37</v>
      </c>
      <c r="F10" s="182" t="s">
        <v>7</v>
      </c>
      <c r="G10" s="182" t="s">
        <v>8</v>
      </c>
      <c r="H10" s="182" t="s">
        <v>9</v>
      </c>
      <c r="I10" s="182" t="s">
        <v>10</v>
      </c>
      <c r="J10" s="182" t="s">
        <v>11</v>
      </c>
      <c r="K10" s="182" t="s">
        <v>35</v>
      </c>
      <c r="L10" s="183"/>
      <c r="M10" s="182" t="s">
        <v>7</v>
      </c>
      <c r="N10" s="182" t="s">
        <v>8</v>
      </c>
      <c r="O10" s="182" t="s">
        <v>9</v>
      </c>
      <c r="P10" s="182" t="s">
        <v>10</v>
      </c>
      <c r="Q10" s="182" t="s">
        <v>11</v>
      </c>
      <c r="R10" s="182" t="s">
        <v>35</v>
      </c>
      <c r="S10" s="188"/>
      <c r="T10" s="181" t="s">
        <v>58</v>
      </c>
      <c r="U10" s="181" t="s">
        <v>57</v>
      </c>
      <c r="V10" s="190" t="s">
        <v>41</v>
      </c>
      <c r="W10" s="190" t="s">
        <v>44</v>
      </c>
      <c r="X10" s="181"/>
    </row>
    <row r="11" spans="1:24" ht="15" x14ac:dyDescent="0.25">
      <c r="A11" s="177"/>
      <c r="B11" s="177"/>
      <c r="C11" s="177"/>
      <c r="D11" s="177"/>
      <c r="E11" s="177"/>
      <c r="F11" s="180"/>
      <c r="G11" s="180"/>
      <c r="H11" s="180"/>
      <c r="I11" s="180"/>
      <c r="J11" s="180"/>
      <c r="K11" s="180"/>
      <c r="L11" s="192"/>
      <c r="M11" s="180"/>
      <c r="N11" s="180"/>
      <c r="O11" s="180"/>
      <c r="P11" s="180"/>
      <c r="Q11" s="180"/>
      <c r="R11" s="180"/>
      <c r="S11" s="195"/>
      <c r="T11" s="177"/>
      <c r="U11" s="177"/>
      <c r="V11" s="175"/>
      <c r="W11" s="179"/>
      <c r="X11" s="177"/>
    </row>
    <row r="12" spans="1:24" ht="15" x14ac:dyDescent="0.25">
      <c r="A12" s="362">
        <v>147</v>
      </c>
      <c r="B12" s="362" t="s">
        <v>157</v>
      </c>
      <c r="C12" s="362" t="s">
        <v>114</v>
      </c>
      <c r="D12" s="362" t="s">
        <v>115</v>
      </c>
      <c r="E12" s="362" t="s">
        <v>116</v>
      </c>
      <c r="F12" s="197">
        <v>0</v>
      </c>
      <c r="G12" s="197">
        <v>0</v>
      </c>
      <c r="H12" s="197">
        <v>0</v>
      </c>
      <c r="I12" s="197">
        <v>7.3</v>
      </c>
      <c r="J12" s="197">
        <v>8</v>
      </c>
      <c r="K12" s="43">
        <f>SUM((I12*0.6),(J12*0.4))</f>
        <v>7.58</v>
      </c>
      <c r="L12" s="199"/>
      <c r="M12" s="197">
        <v>0</v>
      </c>
      <c r="N12" s="197">
        <v>0</v>
      </c>
      <c r="O12" s="197">
        <v>0</v>
      </c>
      <c r="P12" s="197">
        <v>7</v>
      </c>
      <c r="Q12" s="197">
        <v>7.5</v>
      </c>
      <c r="R12" s="43">
        <f>SUM((P12*0.6),(Q12*0.4))</f>
        <v>7.2</v>
      </c>
      <c r="S12" s="206"/>
      <c r="T12" s="227">
        <f>K12</f>
        <v>7.58</v>
      </c>
      <c r="U12" s="227">
        <f>R12</f>
        <v>7.2</v>
      </c>
      <c r="V12" s="198">
        <f>AVERAGE(K12,R12)</f>
        <v>7.3900000000000006</v>
      </c>
      <c r="W12" s="61">
        <f>RANK(V12,V$11:V$18)</f>
        <v>1</v>
      </c>
      <c r="X12" s="156"/>
    </row>
    <row r="13" spans="1:24" s="397" customFormat="1" ht="15" x14ac:dyDescent="0.25">
      <c r="A13" s="389">
        <v>143</v>
      </c>
      <c r="B13" s="389" t="s">
        <v>135</v>
      </c>
      <c r="C13" s="389" t="s">
        <v>232</v>
      </c>
      <c r="D13" s="389" t="s">
        <v>233</v>
      </c>
      <c r="E13" s="389" t="s">
        <v>116</v>
      </c>
      <c r="F13" s="390">
        <v>0</v>
      </c>
      <c r="G13" s="390">
        <v>0</v>
      </c>
      <c r="H13" s="390">
        <v>0</v>
      </c>
      <c r="I13" s="390">
        <v>0</v>
      </c>
      <c r="J13" s="390">
        <v>0</v>
      </c>
      <c r="K13" s="391">
        <f t="shared" ref="K13" si="0">SUM((F13*0.1),(G13*0.1),(H13*0.3),(I13*0.3),(J13*0.2))</f>
        <v>0</v>
      </c>
      <c r="L13" s="392"/>
      <c r="M13" s="390">
        <v>0</v>
      </c>
      <c r="N13" s="390">
        <v>0</v>
      </c>
      <c r="O13" s="390">
        <v>0</v>
      </c>
      <c r="P13" s="390">
        <v>0</v>
      </c>
      <c r="Q13" s="390">
        <v>0</v>
      </c>
      <c r="R13" s="391">
        <f t="shared" ref="R13" si="1">SUM((M13*0.1),(N13*0.1),(O13*0.3),(P13*0.3),(Q13*0.2))</f>
        <v>0</v>
      </c>
      <c r="S13" s="393"/>
      <c r="T13" s="394">
        <f>K13</f>
        <v>0</v>
      </c>
      <c r="U13" s="394">
        <f>R13</f>
        <v>0</v>
      </c>
      <c r="V13" s="395">
        <f>AVERAGE(K13,R13)</f>
        <v>0</v>
      </c>
      <c r="W13" s="173" t="s">
        <v>261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5270-8684-4555-B253-DB16ECC340EB}">
  <dimension ref="A1:AD210"/>
  <sheetViews>
    <sheetView workbookViewId="0">
      <selection activeCell="X15" sqref="X15"/>
    </sheetView>
  </sheetViews>
  <sheetFormatPr defaultColWidth="9.140625" defaultRowHeight="15" x14ac:dyDescent="0.25"/>
  <cols>
    <col min="1" max="1" width="5.42578125" style="3" customWidth="1"/>
    <col min="2" max="2" width="18.85546875" style="3" customWidth="1"/>
    <col min="3" max="3" width="23.7109375" style="3" customWidth="1"/>
    <col min="4" max="4" width="15.28515625" style="3" customWidth="1"/>
    <col min="5" max="5" width="14.28515625" style="3" customWidth="1"/>
    <col min="6" max="11" width="7.7109375" style="3" customWidth="1"/>
    <col min="12" max="12" width="3.28515625" style="3" customWidth="1"/>
    <col min="13" max="18" width="7.7109375" style="3" customWidth="1"/>
    <col min="19" max="19" width="3.28515625" style="3" customWidth="1"/>
    <col min="20" max="24" width="7.7109375" style="3" customWidth="1"/>
    <col min="25" max="25" width="3.28515625" style="3" customWidth="1"/>
    <col min="26" max="26" width="3.140625" style="3" customWidth="1"/>
    <col min="27" max="27" width="9.140625" style="3"/>
    <col min="28" max="28" width="11.28515625" style="3" customWidth="1"/>
    <col min="29" max="16384" width="9.140625" style="3"/>
  </cols>
  <sheetData>
    <row r="1" spans="1:30" x14ac:dyDescent="0.25">
      <c r="A1" s="2" t="str">
        <f>CompDetail!A1</f>
        <v>NSW State Championships</v>
      </c>
      <c r="D1" s="4" t="s">
        <v>0</v>
      </c>
      <c r="E1" s="4" t="s">
        <v>256</v>
      </c>
      <c r="G1" s="5"/>
      <c r="H1" s="6"/>
      <c r="I1" s="6"/>
      <c r="J1" s="6"/>
      <c r="K1" s="6"/>
      <c r="L1" s="6"/>
      <c r="AB1" s="8">
        <f ca="1">NOW()</f>
        <v>43266.404079513886</v>
      </c>
    </row>
    <row r="2" spans="1:30" x14ac:dyDescent="0.25">
      <c r="A2" s="9"/>
      <c r="D2" s="4"/>
      <c r="E2" s="4" t="s">
        <v>257</v>
      </c>
      <c r="G2" s="5"/>
      <c r="AB2" s="11">
        <f ca="1">NOW()</f>
        <v>43266.404079513886</v>
      </c>
    </row>
    <row r="3" spans="1:30" x14ac:dyDescent="0.25">
      <c r="A3" s="516" t="str">
        <f>CompDetail!A3</f>
        <v>June 9 to 11 2018</v>
      </c>
      <c r="B3" s="517"/>
      <c r="D3" s="4"/>
      <c r="E3" s="4"/>
      <c r="F3" s="12"/>
      <c r="G3" s="13"/>
      <c r="H3" s="12"/>
      <c r="I3" s="13"/>
      <c r="J3" s="13"/>
      <c r="K3" s="13"/>
      <c r="L3" s="5"/>
      <c r="M3" s="14"/>
      <c r="N3" s="14"/>
      <c r="O3" s="14"/>
      <c r="P3" s="14"/>
      <c r="Q3" s="14"/>
      <c r="R3" s="14"/>
      <c r="S3" s="5"/>
      <c r="T3" s="14"/>
      <c r="U3" s="14"/>
      <c r="V3" s="14"/>
      <c r="W3" s="14"/>
      <c r="X3" s="14"/>
      <c r="Y3" s="5"/>
    </row>
    <row r="4" spans="1:30" x14ac:dyDescent="0.25">
      <c r="A4" s="374"/>
      <c r="B4" s="375"/>
      <c r="C4" s="5"/>
      <c r="D4" s="127"/>
      <c r="E4" s="127"/>
      <c r="F4" s="12"/>
      <c r="G4" s="13"/>
      <c r="H4" s="12"/>
      <c r="I4" s="13"/>
      <c r="J4" s="13"/>
      <c r="K4" s="13"/>
      <c r="L4" s="5"/>
      <c r="M4" s="14"/>
      <c r="N4" s="14"/>
      <c r="O4" s="14"/>
      <c r="P4" s="14"/>
      <c r="Q4" s="14"/>
      <c r="R4" s="14"/>
      <c r="S4" s="5"/>
      <c r="T4" s="14"/>
      <c r="U4" s="14"/>
      <c r="V4" s="14"/>
      <c r="W4" s="14"/>
      <c r="X4" s="14"/>
      <c r="Y4" s="5"/>
      <c r="Z4" s="5"/>
    </row>
    <row r="5" spans="1:30" ht="15.75" x14ac:dyDescent="0.25">
      <c r="A5" s="155" t="s">
        <v>230</v>
      </c>
      <c r="B5" s="173"/>
      <c r="C5" s="156"/>
      <c r="D5" s="156"/>
      <c r="E5" s="156"/>
      <c r="F5" s="173" t="s">
        <v>58</v>
      </c>
      <c r="G5" s="158" t="str">
        <f>E1</f>
        <v>R Bruderer</v>
      </c>
      <c r="H5" s="156"/>
      <c r="I5" s="173"/>
      <c r="J5" s="156"/>
      <c r="K5" s="156"/>
      <c r="L5" s="156"/>
      <c r="M5" s="173" t="s">
        <v>57</v>
      </c>
      <c r="N5" s="156" t="str">
        <f>E2</f>
        <v>A Deeks</v>
      </c>
      <c r="O5" s="156"/>
      <c r="P5" s="158"/>
      <c r="Q5" s="156"/>
      <c r="R5" s="156"/>
      <c r="S5" s="156"/>
      <c r="T5" s="156"/>
      <c r="U5" s="156"/>
      <c r="V5" s="158"/>
      <c r="W5" s="156"/>
      <c r="X5" s="156"/>
      <c r="Y5" s="5"/>
      <c r="Z5" s="5"/>
    </row>
    <row r="6" spans="1:30" ht="15.75" x14ac:dyDescent="0.25">
      <c r="A6" s="162" t="s">
        <v>245</v>
      </c>
      <c r="B6" s="174"/>
      <c r="C6" s="156"/>
      <c r="D6" s="156"/>
      <c r="E6" s="156"/>
      <c r="F6" s="156"/>
      <c r="G6" s="158"/>
      <c r="H6" s="156"/>
      <c r="I6" s="156"/>
      <c r="J6" s="156"/>
      <c r="K6" s="156"/>
      <c r="L6" s="156"/>
      <c r="M6" s="156"/>
      <c r="N6" s="156"/>
      <c r="O6" s="156"/>
      <c r="P6" s="158"/>
      <c r="Q6" s="156"/>
      <c r="R6" s="156"/>
      <c r="S6" s="158"/>
      <c r="T6" s="156"/>
      <c r="U6" s="156"/>
      <c r="V6" s="158"/>
      <c r="W6" s="156"/>
      <c r="X6" s="156"/>
      <c r="Y6" s="5"/>
      <c r="Z6" s="5"/>
    </row>
    <row r="7" spans="1:30" x14ac:dyDescent="0.25">
      <c r="A7" s="156"/>
      <c r="B7" s="156"/>
      <c r="C7" s="156"/>
      <c r="D7" s="156"/>
      <c r="E7" s="156"/>
      <c r="F7" s="173" t="s">
        <v>35</v>
      </c>
      <c r="G7" s="156"/>
      <c r="H7" s="156"/>
      <c r="I7" s="156"/>
      <c r="J7" s="156"/>
      <c r="K7" s="159"/>
      <c r="L7" s="175"/>
      <c r="M7" s="173" t="s">
        <v>35</v>
      </c>
      <c r="N7" s="156"/>
      <c r="O7" s="156"/>
      <c r="P7" s="156"/>
      <c r="Q7" s="156"/>
      <c r="R7" s="159"/>
      <c r="S7" s="158"/>
      <c r="T7" s="156"/>
      <c r="U7" s="156"/>
      <c r="V7" s="179" t="s">
        <v>63</v>
      </c>
      <c r="W7" s="180"/>
      <c r="X7" s="156"/>
      <c r="Y7" s="5"/>
      <c r="Z7" s="5"/>
    </row>
    <row r="8" spans="1:30" x14ac:dyDescent="0.25">
      <c r="A8" s="181" t="s">
        <v>33</v>
      </c>
      <c r="B8" s="181" t="s">
        <v>34</v>
      </c>
      <c r="C8" s="181" t="s">
        <v>35</v>
      </c>
      <c r="D8" s="181" t="s">
        <v>36</v>
      </c>
      <c r="E8" s="181" t="s">
        <v>37</v>
      </c>
      <c r="F8" s="182" t="s">
        <v>7</v>
      </c>
      <c r="G8" s="182" t="s">
        <v>8</v>
      </c>
      <c r="H8" s="182" t="s">
        <v>9</v>
      </c>
      <c r="I8" s="182" t="s">
        <v>10</v>
      </c>
      <c r="J8" s="182" t="s">
        <v>11</v>
      </c>
      <c r="K8" s="182" t="s">
        <v>35</v>
      </c>
      <c r="L8" s="183"/>
      <c r="M8" s="182" t="s">
        <v>7</v>
      </c>
      <c r="N8" s="182" t="s">
        <v>8</v>
      </c>
      <c r="O8" s="182" t="s">
        <v>9</v>
      </c>
      <c r="P8" s="182" t="s">
        <v>10</v>
      </c>
      <c r="Q8" s="182" t="s">
        <v>11</v>
      </c>
      <c r="R8" s="182" t="s">
        <v>35</v>
      </c>
      <c r="S8" s="188"/>
      <c r="T8" s="181" t="s">
        <v>58</v>
      </c>
      <c r="U8" s="181" t="s">
        <v>57</v>
      </c>
      <c r="V8" s="190" t="s">
        <v>41</v>
      </c>
      <c r="W8" s="190" t="s">
        <v>44</v>
      </c>
      <c r="X8" s="181"/>
      <c r="Y8" s="5"/>
      <c r="Z8" s="378"/>
      <c r="AA8" s="27"/>
      <c r="AB8" s="28"/>
    </row>
    <row r="9" spans="1:30" s="24" customFormat="1" x14ac:dyDescent="0.25">
      <c r="A9" s="177"/>
      <c r="B9" s="177"/>
      <c r="C9" s="177"/>
      <c r="D9" s="177"/>
      <c r="E9" s="177"/>
      <c r="F9" s="180"/>
      <c r="G9" s="180"/>
      <c r="H9" s="180"/>
      <c r="I9" s="180"/>
      <c r="J9" s="180"/>
      <c r="K9" s="180"/>
      <c r="L9" s="192"/>
      <c r="M9" s="180"/>
      <c r="N9" s="180"/>
      <c r="O9" s="180"/>
      <c r="P9" s="180"/>
      <c r="Q9" s="180"/>
      <c r="R9" s="180"/>
      <c r="S9" s="195"/>
      <c r="T9" s="177"/>
      <c r="U9" s="177"/>
      <c r="V9" s="175"/>
      <c r="W9" s="179"/>
      <c r="X9" s="177"/>
      <c r="Y9" s="379"/>
      <c r="Z9" s="381"/>
      <c r="AA9" s="35"/>
      <c r="AB9" s="36"/>
      <c r="AC9" s="29"/>
      <c r="AD9" s="29"/>
    </row>
    <row r="10" spans="1:30" s="402" customFormat="1" x14ac:dyDescent="0.25">
      <c r="A10" s="396">
        <v>132</v>
      </c>
      <c r="B10" s="398" t="s">
        <v>138</v>
      </c>
      <c r="C10" s="389" t="s">
        <v>192</v>
      </c>
      <c r="D10" s="389" t="s">
        <v>193</v>
      </c>
      <c r="E10" s="397" t="s">
        <v>142</v>
      </c>
      <c r="F10" s="390">
        <v>0</v>
      </c>
      <c r="G10" s="390">
        <v>0</v>
      </c>
      <c r="H10" s="390">
        <v>0</v>
      </c>
      <c r="I10" s="390">
        <v>0</v>
      </c>
      <c r="J10" s="390">
        <v>0</v>
      </c>
      <c r="K10" s="395">
        <f>SUM((F10*0.3),(G10*0.25),(H10*0.25),(I10*0.15),(J10*0.05))</f>
        <v>0</v>
      </c>
      <c r="L10" s="392"/>
      <c r="M10" s="390">
        <v>0</v>
      </c>
      <c r="N10" s="390">
        <v>0</v>
      </c>
      <c r="O10" s="390">
        <v>0</v>
      </c>
      <c r="P10" s="390">
        <v>0</v>
      </c>
      <c r="Q10" s="390">
        <v>0</v>
      </c>
      <c r="R10" s="395">
        <f>SUM((M10*0.3),(N10*0.25),(O10*0.25),(P10*0.15),(Q10*0.05))</f>
        <v>0</v>
      </c>
      <c r="S10" s="393"/>
      <c r="T10" s="395">
        <v>0</v>
      </c>
      <c r="U10" s="395">
        <v>0</v>
      </c>
      <c r="V10" s="395">
        <f>AVERAGE(K10,R10)</f>
        <v>0</v>
      </c>
      <c r="W10" s="61" t="s">
        <v>261</v>
      </c>
      <c r="X10" s="396"/>
      <c r="Y10" s="399"/>
      <c r="Z10" s="400"/>
      <c r="AA10" s="401"/>
      <c r="AB10" s="401"/>
    </row>
    <row r="11" spans="1:30" ht="18.75" x14ac:dyDescent="0.3">
      <c r="A11" s="209"/>
      <c r="B11" s="210"/>
      <c r="C11" s="211"/>
      <c r="D11" s="157"/>
      <c r="E11" s="157"/>
      <c r="F11" s="212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8"/>
      <c r="W11" s="156"/>
      <c r="X11" s="156"/>
      <c r="Y11" s="384"/>
      <c r="Z11" s="385"/>
      <c r="AA11" s="48"/>
      <c r="AB11" s="42"/>
    </row>
    <row r="12" spans="1:30" x14ac:dyDescent="0.25">
      <c r="A12" s="376"/>
      <c r="B12" s="5"/>
      <c r="C12" s="5"/>
      <c r="D12" s="12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384"/>
      <c r="Z12" s="385"/>
      <c r="AA12" s="48"/>
      <c r="AB12" s="42"/>
    </row>
    <row r="13" spans="1:30" x14ac:dyDescent="0.25">
      <c r="A13" s="131"/>
      <c r="B13" s="376"/>
      <c r="C13" s="5"/>
      <c r="D13" s="5"/>
      <c r="E13" s="5"/>
      <c r="F13" s="376"/>
      <c r="G13" s="5"/>
      <c r="H13" s="5"/>
      <c r="I13" s="376"/>
      <c r="J13" s="5"/>
      <c r="K13" s="5"/>
      <c r="L13" s="5"/>
      <c r="M13" s="376"/>
      <c r="N13" s="5"/>
      <c r="O13" s="5"/>
      <c r="P13" s="5"/>
      <c r="Q13" s="5"/>
      <c r="R13" s="5"/>
      <c r="S13" s="5"/>
      <c r="T13" s="5"/>
      <c r="U13" s="5"/>
      <c r="V13" s="376"/>
      <c r="W13" s="5"/>
      <c r="X13" s="5"/>
      <c r="Y13" s="384"/>
      <c r="Z13" s="385"/>
      <c r="AA13" s="48"/>
      <c r="AB13" s="42"/>
    </row>
    <row r="14" spans="1:30" x14ac:dyDescent="0.25">
      <c r="A14" s="376"/>
      <c r="B14" s="37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384"/>
      <c r="Z14" s="385"/>
      <c r="AA14" s="48"/>
      <c r="AB14" s="42"/>
    </row>
    <row r="15" spans="1:30" x14ac:dyDescent="0.25">
      <c r="A15" s="5"/>
      <c r="B15" s="5"/>
      <c r="C15" s="5"/>
      <c r="D15" s="5"/>
      <c r="E15" s="5"/>
      <c r="F15" s="377"/>
      <c r="G15" s="5"/>
      <c r="H15" s="5"/>
      <c r="I15" s="5"/>
      <c r="J15" s="5"/>
      <c r="K15" s="120"/>
      <c r="L15" s="23"/>
      <c r="M15" s="377"/>
      <c r="N15" s="23"/>
      <c r="O15" s="23"/>
      <c r="P15" s="23"/>
      <c r="Q15" s="377"/>
      <c r="R15" s="5"/>
      <c r="S15" s="5"/>
      <c r="T15" s="23"/>
      <c r="U15" s="377"/>
      <c r="V15" s="377"/>
      <c r="W15" s="23"/>
      <c r="X15" s="23"/>
      <c r="Y15" s="384"/>
      <c r="Z15" s="385"/>
      <c r="AA15" s="48"/>
      <c r="AB15" s="42"/>
    </row>
    <row r="16" spans="1:30" x14ac:dyDescent="0.25">
      <c r="A16" s="379"/>
      <c r="B16" s="379"/>
      <c r="C16" s="379"/>
      <c r="D16" s="379"/>
      <c r="E16" s="379"/>
      <c r="F16" s="380"/>
      <c r="G16" s="380"/>
      <c r="H16" s="380"/>
      <c r="I16" s="380"/>
      <c r="J16" s="380"/>
      <c r="K16" s="380"/>
      <c r="L16" s="379"/>
      <c r="M16" s="380"/>
      <c r="N16" s="380"/>
      <c r="O16" s="380"/>
      <c r="P16" s="380"/>
      <c r="Q16" s="380"/>
      <c r="R16" s="380"/>
      <c r="S16" s="379"/>
      <c r="T16" s="380"/>
      <c r="U16" s="380"/>
      <c r="V16" s="380"/>
      <c r="W16" s="380"/>
      <c r="X16" s="380"/>
      <c r="Y16" s="384"/>
      <c r="Z16" s="385"/>
      <c r="AA16" s="48"/>
      <c r="AB16" s="42"/>
    </row>
    <row r="17" spans="1:28" x14ac:dyDescent="0.25">
      <c r="A17" s="23"/>
      <c r="B17" s="23"/>
      <c r="C17" s="23"/>
      <c r="D17" s="23"/>
      <c r="E17" s="23"/>
      <c r="F17" s="59"/>
      <c r="G17" s="59"/>
      <c r="H17" s="59"/>
      <c r="I17" s="59"/>
      <c r="J17" s="59"/>
      <c r="K17" s="59"/>
      <c r="L17" s="23"/>
      <c r="M17" s="59"/>
      <c r="N17" s="59"/>
      <c r="O17" s="59"/>
      <c r="P17" s="59"/>
      <c r="Q17" s="59"/>
      <c r="R17" s="59"/>
      <c r="S17" s="23"/>
      <c r="T17" s="59"/>
      <c r="U17" s="59"/>
      <c r="V17" s="59"/>
      <c r="W17" s="59"/>
      <c r="X17" s="59"/>
      <c r="Y17" s="384"/>
      <c r="Z17" s="385"/>
      <c r="AA17" s="48"/>
      <c r="AB17" s="42"/>
    </row>
    <row r="18" spans="1:28" x14ac:dyDescent="0.25">
      <c r="A18" s="314"/>
      <c r="B18" s="314"/>
      <c r="C18" s="314"/>
      <c r="D18" s="314"/>
      <c r="E18" s="314"/>
      <c r="F18" s="382"/>
      <c r="G18" s="382"/>
      <c r="H18" s="382"/>
      <c r="I18" s="382"/>
      <c r="J18" s="382"/>
      <c r="K18" s="43"/>
      <c r="L18" s="383"/>
      <c r="M18" s="382"/>
      <c r="N18" s="382"/>
      <c r="O18" s="382"/>
      <c r="P18" s="382"/>
      <c r="Q18" s="382"/>
      <c r="R18" s="43"/>
      <c r="S18" s="384"/>
      <c r="T18" s="382"/>
      <c r="U18" s="382"/>
      <c r="V18" s="382"/>
      <c r="W18" s="382"/>
      <c r="X18" s="382"/>
      <c r="Y18" s="384"/>
      <c r="Z18" s="385"/>
      <c r="AA18" s="48"/>
      <c r="AB18" s="42"/>
    </row>
    <row r="19" spans="1:28" x14ac:dyDescent="0.25">
      <c r="A19" s="314"/>
      <c r="B19" s="314"/>
      <c r="C19" s="314"/>
      <c r="D19" s="314"/>
      <c r="E19" s="314"/>
      <c r="F19" s="382"/>
      <c r="G19" s="382"/>
      <c r="H19" s="382"/>
      <c r="I19" s="382"/>
      <c r="J19" s="382"/>
      <c r="K19" s="43"/>
      <c r="L19" s="383"/>
      <c r="M19" s="382"/>
      <c r="N19" s="382"/>
      <c r="O19" s="382"/>
      <c r="P19" s="382"/>
      <c r="Q19" s="382"/>
      <c r="R19" s="43"/>
      <c r="S19" s="384"/>
      <c r="T19" s="382"/>
      <c r="U19" s="382"/>
      <c r="V19" s="382"/>
      <c r="W19" s="382"/>
      <c r="X19" s="382"/>
      <c r="Y19" s="384"/>
      <c r="Z19" s="385"/>
      <c r="AA19" s="48"/>
      <c r="AB19" s="42"/>
    </row>
    <row r="20" spans="1:28" x14ac:dyDescent="0.25">
      <c r="A20" s="314"/>
      <c r="B20" s="314"/>
      <c r="C20" s="314"/>
      <c r="D20" s="314"/>
      <c r="E20" s="314"/>
      <c r="F20" s="382"/>
      <c r="G20" s="382"/>
      <c r="H20" s="382"/>
      <c r="I20" s="382"/>
      <c r="J20" s="382"/>
      <c r="K20" s="43"/>
      <c r="L20" s="383"/>
      <c r="M20" s="382"/>
      <c r="N20" s="382"/>
      <c r="O20" s="382"/>
      <c r="P20" s="382"/>
      <c r="Q20" s="382"/>
      <c r="R20" s="43"/>
      <c r="S20" s="384"/>
      <c r="T20" s="382"/>
      <c r="U20" s="382"/>
      <c r="V20" s="382"/>
      <c r="W20" s="382"/>
      <c r="X20" s="382"/>
      <c r="Y20" s="384"/>
      <c r="Z20" s="385"/>
      <c r="AA20" s="48"/>
      <c r="AB20" s="42"/>
    </row>
    <row r="21" spans="1:28" x14ac:dyDescent="0.25">
      <c r="A21" s="314"/>
      <c r="B21" s="314"/>
      <c r="C21" s="314"/>
      <c r="D21" s="314"/>
      <c r="E21" s="314"/>
      <c r="F21" s="382"/>
      <c r="G21" s="382"/>
      <c r="H21" s="382"/>
      <c r="I21" s="382"/>
      <c r="J21" s="382"/>
      <c r="K21" s="43"/>
      <c r="L21" s="383"/>
      <c r="M21" s="382"/>
      <c r="N21" s="382"/>
      <c r="O21" s="382"/>
      <c r="P21" s="382"/>
      <c r="Q21" s="382"/>
      <c r="R21" s="43"/>
      <c r="S21" s="384"/>
      <c r="T21" s="382"/>
      <c r="U21" s="382"/>
      <c r="V21" s="382"/>
      <c r="W21" s="382"/>
      <c r="X21" s="382"/>
      <c r="Y21" s="384"/>
      <c r="Z21" s="385"/>
      <c r="AA21" s="48"/>
      <c r="AB21" s="42"/>
    </row>
    <row r="22" spans="1:28" x14ac:dyDescent="0.25">
      <c r="A22" s="314"/>
      <c r="B22" s="314"/>
      <c r="C22" s="314"/>
      <c r="D22" s="314"/>
      <c r="E22" s="314"/>
      <c r="F22" s="382"/>
      <c r="G22" s="382"/>
      <c r="H22" s="382"/>
      <c r="I22" s="382"/>
      <c r="J22" s="382"/>
      <c r="K22" s="43"/>
      <c r="L22" s="383"/>
      <c r="M22" s="382"/>
      <c r="N22" s="382"/>
      <c r="O22" s="382"/>
      <c r="P22" s="382"/>
      <c r="Q22" s="382"/>
      <c r="R22" s="43"/>
      <c r="S22" s="384"/>
      <c r="T22" s="382"/>
      <c r="U22" s="382"/>
      <c r="V22" s="382"/>
      <c r="W22" s="382"/>
      <c r="X22" s="382"/>
      <c r="Y22" s="384"/>
      <c r="Z22" s="385"/>
      <c r="AA22" s="48"/>
      <c r="AB22" s="42"/>
    </row>
    <row r="23" spans="1:28" x14ac:dyDescent="0.25">
      <c r="A23" s="314"/>
      <c r="B23" s="314"/>
      <c r="C23" s="314"/>
      <c r="D23" s="314"/>
      <c r="E23" s="314"/>
      <c r="F23" s="382"/>
      <c r="G23" s="382"/>
      <c r="H23" s="382"/>
      <c r="I23" s="382"/>
      <c r="J23" s="382"/>
      <c r="K23" s="43"/>
      <c r="L23" s="383"/>
      <c r="M23" s="382"/>
      <c r="N23" s="382"/>
      <c r="O23" s="382"/>
      <c r="P23" s="382"/>
      <c r="Q23" s="382"/>
      <c r="R23" s="43"/>
      <c r="S23" s="384"/>
      <c r="T23" s="382"/>
      <c r="U23" s="382"/>
      <c r="V23" s="382"/>
      <c r="W23" s="382"/>
      <c r="X23" s="382"/>
      <c r="Y23" s="5"/>
      <c r="Z23" s="5"/>
    </row>
    <row r="24" spans="1:28" x14ac:dyDescent="0.25">
      <c r="A24" s="314"/>
      <c r="B24" s="314"/>
      <c r="C24" s="314"/>
      <c r="D24" s="314"/>
      <c r="E24" s="314"/>
      <c r="F24" s="382"/>
      <c r="G24" s="382"/>
      <c r="H24" s="382"/>
      <c r="I24" s="382"/>
      <c r="J24" s="382"/>
      <c r="K24" s="43"/>
      <c r="L24" s="383"/>
      <c r="M24" s="382"/>
      <c r="N24" s="382"/>
      <c r="O24" s="382"/>
      <c r="P24" s="382"/>
      <c r="Q24" s="382"/>
      <c r="R24" s="43"/>
      <c r="S24" s="384"/>
      <c r="T24" s="382"/>
      <c r="U24" s="382"/>
      <c r="V24" s="382"/>
      <c r="W24" s="382"/>
      <c r="X24" s="382"/>
      <c r="Y24" s="5"/>
      <c r="Z24" s="5"/>
    </row>
    <row r="25" spans="1:28" x14ac:dyDescent="0.25">
      <c r="A25" s="314"/>
      <c r="B25" s="314"/>
      <c r="C25" s="314"/>
      <c r="D25" s="314"/>
      <c r="E25" s="314"/>
      <c r="F25" s="382"/>
      <c r="G25" s="382"/>
      <c r="H25" s="382"/>
      <c r="I25" s="382"/>
      <c r="J25" s="382"/>
      <c r="K25" s="43"/>
      <c r="L25" s="383"/>
      <c r="M25" s="382"/>
      <c r="N25" s="382"/>
      <c r="O25" s="382"/>
      <c r="P25" s="382"/>
      <c r="Q25" s="382"/>
      <c r="R25" s="43"/>
      <c r="S25" s="384"/>
      <c r="T25" s="382"/>
      <c r="U25" s="382"/>
      <c r="V25" s="382"/>
      <c r="W25" s="382"/>
      <c r="X25" s="382"/>
      <c r="Y25" s="5"/>
      <c r="Z25" s="5"/>
    </row>
    <row r="26" spans="1:28" x14ac:dyDescent="0.25">
      <c r="A26" s="314"/>
      <c r="B26" s="314"/>
      <c r="C26" s="314"/>
      <c r="D26" s="314"/>
      <c r="E26" s="314"/>
      <c r="F26" s="382"/>
      <c r="G26" s="382"/>
      <c r="H26" s="382"/>
      <c r="I26" s="382"/>
      <c r="J26" s="382"/>
      <c r="K26" s="43"/>
      <c r="L26" s="383"/>
      <c r="M26" s="382"/>
      <c r="N26" s="382"/>
      <c r="O26" s="382"/>
      <c r="P26" s="382"/>
      <c r="Q26" s="382"/>
      <c r="R26" s="43"/>
      <c r="S26" s="384"/>
      <c r="T26" s="382"/>
      <c r="U26" s="382"/>
      <c r="V26" s="382"/>
      <c r="W26" s="382"/>
      <c r="X26" s="382"/>
      <c r="Y26" s="5"/>
      <c r="Z26" s="5"/>
    </row>
    <row r="27" spans="1:28" x14ac:dyDescent="0.25">
      <c r="A27" s="314"/>
      <c r="B27" s="314"/>
      <c r="C27" s="314"/>
      <c r="D27" s="314"/>
      <c r="E27" s="314"/>
      <c r="F27" s="382"/>
      <c r="G27" s="382"/>
      <c r="H27" s="382"/>
      <c r="I27" s="382"/>
      <c r="J27" s="382"/>
      <c r="K27" s="43"/>
      <c r="L27" s="383"/>
      <c r="M27" s="382"/>
      <c r="N27" s="382"/>
      <c r="O27" s="382"/>
      <c r="P27" s="382"/>
      <c r="Q27" s="382"/>
      <c r="R27" s="43"/>
      <c r="S27" s="384"/>
      <c r="T27" s="382"/>
      <c r="U27" s="382"/>
      <c r="V27" s="382"/>
      <c r="W27" s="382"/>
      <c r="X27" s="382"/>
      <c r="Y27" s="5"/>
      <c r="Z27" s="5"/>
    </row>
    <row r="28" spans="1:28" x14ac:dyDescent="0.25">
      <c r="A28" s="314"/>
      <c r="B28" s="314"/>
      <c r="C28" s="314"/>
      <c r="D28" s="314"/>
      <c r="E28" s="314"/>
      <c r="F28" s="382"/>
      <c r="G28" s="382"/>
      <c r="H28" s="382"/>
      <c r="I28" s="382"/>
      <c r="J28" s="382"/>
      <c r="K28" s="43"/>
      <c r="L28" s="383"/>
      <c r="M28" s="382"/>
      <c r="N28" s="382"/>
      <c r="O28" s="382"/>
      <c r="P28" s="382"/>
      <c r="Q28" s="382"/>
      <c r="R28" s="43"/>
      <c r="S28" s="384"/>
      <c r="T28" s="382"/>
      <c r="U28" s="382"/>
      <c r="V28" s="382"/>
      <c r="W28" s="382"/>
      <c r="X28" s="382"/>
      <c r="Y28" s="5"/>
      <c r="Z28" s="5"/>
    </row>
    <row r="29" spans="1:28" x14ac:dyDescent="0.25">
      <c r="A29" s="314"/>
      <c r="B29" s="314"/>
      <c r="C29" s="314"/>
      <c r="D29" s="314"/>
      <c r="E29" s="314"/>
      <c r="F29" s="382"/>
      <c r="G29" s="382"/>
      <c r="H29" s="382"/>
      <c r="I29" s="382"/>
      <c r="J29" s="382"/>
      <c r="K29" s="43"/>
      <c r="L29" s="383"/>
      <c r="M29" s="382"/>
      <c r="N29" s="382"/>
      <c r="O29" s="382"/>
      <c r="P29" s="382"/>
      <c r="Q29" s="382"/>
      <c r="R29" s="43"/>
      <c r="S29" s="384"/>
      <c r="T29" s="382"/>
      <c r="U29" s="382"/>
      <c r="V29" s="382"/>
      <c r="W29" s="382"/>
      <c r="X29" s="382"/>
      <c r="Y29" s="5"/>
      <c r="Z29" s="5"/>
    </row>
    <row r="30" spans="1:28" x14ac:dyDescent="0.25">
      <c r="A30" s="314"/>
      <c r="B30" s="314"/>
      <c r="C30" s="314"/>
      <c r="D30" s="314"/>
      <c r="E30" s="314"/>
      <c r="F30" s="382"/>
      <c r="G30" s="382"/>
      <c r="H30" s="382"/>
      <c r="I30" s="382"/>
      <c r="J30" s="382"/>
      <c r="K30" s="43"/>
      <c r="L30" s="383"/>
      <c r="M30" s="382"/>
      <c r="N30" s="382"/>
      <c r="O30" s="382"/>
      <c r="P30" s="382"/>
      <c r="Q30" s="382"/>
      <c r="R30" s="43"/>
      <c r="S30" s="384"/>
      <c r="T30" s="382"/>
      <c r="U30" s="382"/>
      <c r="V30" s="382"/>
      <c r="W30" s="382"/>
      <c r="X30" s="382"/>
      <c r="Y30" s="5"/>
      <c r="Z30" s="5"/>
    </row>
    <row r="31" spans="1:28" x14ac:dyDescent="0.25">
      <c r="A31" s="314"/>
      <c r="B31" s="314"/>
      <c r="C31" s="314"/>
      <c r="D31" s="314"/>
      <c r="E31" s="314"/>
      <c r="F31" s="382"/>
      <c r="G31" s="382"/>
      <c r="H31" s="382"/>
      <c r="I31" s="382"/>
      <c r="J31" s="382"/>
      <c r="K31" s="43"/>
      <c r="L31" s="383"/>
      <c r="M31" s="382"/>
      <c r="N31" s="382"/>
      <c r="O31" s="382"/>
      <c r="P31" s="382"/>
      <c r="Q31" s="382"/>
      <c r="R31" s="43"/>
      <c r="S31" s="384"/>
      <c r="T31" s="382"/>
      <c r="U31" s="382"/>
      <c r="V31" s="382"/>
      <c r="W31" s="382"/>
      <c r="X31" s="382"/>
      <c r="Y31" s="5"/>
      <c r="Z31" s="5"/>
    </row>
    <row r="32" spans="1:28" x14ac:dyDescent="0.25">
      <c r="A32" s="314"/>
      <c r="B32" s="314"/>
      <c r="C32" s="314"/>
      <c r="D32" s="314"/>
      <c r="E32" s="314"/>
      <c r="F32" s="382"/>
      <c r="G32" s="382"/>
      <c r="H32" s="382"/>
      <c r="I32" s="382"/>
      <c r="J32" s="382"/>
      <c r="K32" s="43"/>
      <c r="L32" s="383"/>
      <c r="M32" s="382"/>
      <c r="N32" s="382"/>
      <c r="O32" s="382"/>
      <c r="P32" s="382"/>
      <c r="Q32" s="382"/>
      <c r="R32" s="43"/>
      <c r="S32" s="384"/>
      <c r="T32" s="382"/>
      <c r="U32" s="382"/>
      <c r="V32" s="382"/>
      <c r="W32" s="382"/>
      <c r="X32" s="382"/>
      <c r="Y32" s="5"/>
      <c r="Z32" s="5"/>
    </row>
    <row r="33" spans="1:26" x14ac:dyDescent="0.25">
      <c r="A33" s="314"/>
      <c r="B33" s="314"/>
      <c r="C33" s="314"/>
      <c r="D33" s="314"/>
      <c r="E33" s="314"/>
      <c r="F33" s="382"/>
      <c r="G33" s="382"/>
      <c r="H33" s="382"/>
      <c r="I33" s="382"/>
      <c r="J33" s="382"/>
      <c r="K33" s="43"/>
      <c r="L33" s="383"/>
      <c r="M33" s="382"/>
      <c r="N33" s="382"/>
      <c r="O33" s="382"/>
      <c r="P33" s="382"/>
      <c r="Q33" s="382"/>
      <c r="R33" s="43"/>
      <c r="S33" s="384"/>
      <c r="T33" s="382"/>
      <c r="U33" s="382"/>
      <c r="V33" s="382"/>
      <c r="W33" s="382"/>
      <c r="X33" s="382"/>
      <c r="Y33" s="5"/>
      <c r="Z33" s="5"/>
    </row>
    <row r="34" spans="1:2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</sheetData>
  <mergeCells count="1">
    <mergeCell ref="A3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F53E-7F3E-41D5-B6CD-3004B089376D}">
  <sheetPr>
    <pageSetUpPr fitToPage="1"/>
  </sheetPr>
  <dimension ref="A1:S24"/>
  <sheetViews>
    <sheetView workbookViewId="0">
      <pane xSplit="2" topLeftCell="C1" activePane="topRight" state="frozen"/>
      <selection pane="topRight" activeCell="A6" sqref="A6"/>
    </sheetView>
  </sheetViews>
  <sheetFormatPr defaultRowHeight="12.75" x14ac:dyDescent="0.2"/>
  <cols>
    <col min="2" max="2" width="28.5703125" customWidth="1"/>
    <col min="3" max="3" width="13.42578125" customWidth="1"/>
    <col min="4" max="4" width="2.5703125" customWidth="1"/>
    <col min="11" max="11" width="4.5703125" customWidth="1"/>
    <col min="15" max="15" width="3" customWidth="1"/>
    <col min="16" max="16" width="8.5703125" customWidth="1"/>
    <col min="17" max="17" width="9.5703125" customWidth="1"/>
    <col min="18" max="18" width="9.85546875" customWidth="1"/>
  </cols>
  <sheetData>
    <row r="1" spans="1:19" ht="15.75" x14ac:dyDescent="0.25">
      <c r="A1" s="52" t="str">
        <f>CompDetail!A1</f>
        <v>NSW State Championships</v>
      </c>
      <c r="B1" s="3"/>
      <c r="C1" s="243" t="s">
        <v>144</v>
      </c>
      <c r="L1" s="523"/>
      <c r="M1" s="523"/>
      <c r="N1" s="523"/>
    </row>
    <row r="2" spans="1:19" ht="15.75" x14ac:dyDescent="0.25">
      <c r="A2" s="53"/>
      <c r="B2" s="3"/>
      <c r="C2" s="243" t="s">
        <v>258</v>
      </c>
      <c r="L2" s="523"/>
      <c r="M2" s="523"/>
      <c r="N2" s="523"/>
    </row>
    <row r="3" spans="1:19" ht="15.75" x14ac:dyDescent="0.25">
      <c r="A3" s="520" t="str">
        <f>CompDetail!A3</f>
        <v>June 9 to 11 2018</v>
      </c>
      <c r="B3" s="521"/>
      <c r="C3" s="243" t="s">
        <v>257</v>
      </c>
      <c r="L3" s="494"/>
      <c r="M3" s="494"/>
      <c r="N3" s="494"/>
    </row>
    <row r="4" spans="1:19" ht="15.75" x14ac:dyDescent="0.25">
      <c r="A4" s="246"/>
      <c r="B4" s="247"/>
      <c r="C4" s="494"/>
      <c r="L4" s="494"/>
      <c r="M4" s="494"/>
      <c r="N4" s="494"/>
    </row>
    <row r="5" spans="1:19" ht="15.75" x14ac:dyDescent="0.25">
      <c r="A5" s="52" t="s">
        <v>229</v>
      </c>
      <c r="B5" s="2"/>
      <c r="C5" s="4"/>
      <c r="D5" s="322"/>
      <c r="E5" s="2" t="s">
        <v>58</v>
      </c>
      <c r="F5" s="4" t="str">
        <f>C2</f>
        <v>J Scott</v>
      </c>
      <c r="G5" s="4"/>
      <c r="H5" s="2"/>
      <c r="I5" s="4"/>
      <c r="J5" s="323"/>
      <c r="K5" s="323"/>
      <c r="L5" s="325" t="s">
        <v>57</v>
      </c>
      <c r="M5" s="326" t="str">
        <f>C3</f>
        <v>A Deeks</v>
      </c>
      <c r="N5" s="324"/>
      <c r="O5" s="322"/>
      <c r="P5" s="322"/>
      <c r="Q5" s="322"/>
      <c r="R5" s="322"/>
      <c r="S5" s="322"/>
    </row>
    <row r="6" spans="1:19" ht="15.75" x14ac:dyDescent="0.25">
      <c r="A6" s="52" t="s">
        <v>64</v>
      </c>
      <c r="B6" s="2" t="s">
        <v>250</v>
      </c>
      <c r="C6" s="4"/>
      <c r="D6" s="322"/>
      <c r="E6" s="4"/>
      <c r="F6" s="4"/>
      <c r="G6" s="4"/>
      <c r="H6" s="4"/>
      <c r="I6" s="4"/>
      <c r="J6" s="323"/>
      <c r="K6" s="323"/>
      <c r="L6" s="322"/>
      <c r="M6" s="322"/>
      <c r="N6" s="324"/>
      <c r="O6" s="322"/>
      <c r="P6" s="322"/>
      <c r="Q6" s="322"/>
      <c r="R6" s="322"/>
      <c r="S6" s="322"/>
    </row>
    <row r="7" spans="1:19" ht="15" x14ac:dyDescent="0.25">
      <c r="A7" s="4"/>
      <c r="B7" s="4"/>
      <c r="C7" s="4"/>
      <c r="D7" s="322"/>
      <c r="E7" s="2"/>
      <c r="F7" s="4"/>
      <c r="G7" s="4"/>
      <c r="H7" s="4"/>
      <c r="I7" s="4"/>
      <c r="J7" s="328"/>
      <c r="K7" s="328"/>
      <c r="L7" s="322"/>
      <c r="M7" s="322"/>
      <c r="N7" s="328"/>
      <c r="O7" s="322"/>
      <c r="P7" s="322"/>
      <c r="Q7" s="322"/>
      <c r="R7" s="327"/>
      <c r="S7" s="323"/>
    </row>
    <row r="8" spans="1:19" ht="15" x14ac:dyDescent="0.25">
      <c r="A8" s="55" t="s">
        <v>33</v>
      </c>
      <c r="B8" s="55" t="s">
        <v>34</v>
      </c>
      <c r="C8" s="55" t="s">
        <v>37</v>
      </c>
      <c r="D8" s="331"/>
      <c r="E8" s="87" t="s">
        <v>23</v>
      </c>
      <c r="F8" s="55"/>
      <c r="G8" s="55"/>
      <c r="H8" s="55"/>
      <c r="I8" s="55"/>
      <c r="J8" s="330" t="s">
        <v>23</v>
      </c>
      <c r="K8" s="452"/>
      <c r="L8" s="329"/>
      <c r="M8" s="329"/>
      <c r="N8" s="330" t="s">
        <v>68</v>
      </c>
      <c r="O8" s="331"/>
      <c r="P8" s="329"/>
      <c r="Q8" s="329"/>
      <c r="R8" s="440" t="s">
        <v>24</v>
      </c>
      <c r="S8" s="328"/>
    </row>
    <row r="9" spans="1:19" ht="15" x14ac:dyDescent="0.25">
      <c r="A9" s="55"/>
      <c r="B9" s="55"/>
      <c r="C9" s="55"/>
      <c r="D9" s="332"/>
      <c r="E9" s="55" t="s">
        <v>12</v>
      </c>
      <c r="F9" s="55" t="s">
        <v>13</v>
      </c>
      <c r="G9" s="55" t="s">
        <v>14</v>
      </c>
      <c r="H9" s="55" t="s">
        <v>15</v>
      </c>
      <c r="I9" s="55" t="s">
        <v>16</v>
      </c>
      <c r="J9" s="330" t="s">
        <v>24</v>
      </c>
      <c r="K9" s="452"/>
      <c r="L9" s="322" t="s">
        <v>45</v>
      </c>
      <c r="M9" s="322" t="s">
        <v>80</v>
      </c>
      <c r="N9" s="330" t="s">
        <v>24</v>
      </c>
      <c r="O9" s="332"/>
      <c r="P9" s="439" t="s">
        <v>101</v>
      </c>
      <c r="Q9" s="439" t="s">
        <v>102</v>
      </c>
      <c r="R9" s="440" t="s">
        <v>41</v>
      </c>
      <c r="S9" s="333" t="s">
        <v>44</v>
      </c>
    </row>
    <row r="10" spans="1:19" ht="15" x14ac:dyDescent="0.25">
      <c r="A10" s="362">
        <v>135</v>
      </c>
      <c r="B10" s="362" t="s">
        <v>145</v>
      </c>
      <c r="C10" s="334"/>
      <c r="D10" s="336"/>
      <c r="E10" s="337"/>
      <c r="F10" s="337"/>
      <c r="G10" s="337"/>
      <c r="H10" s="337"/>
      <c r="I10" s="337"/>
      <c r="J10" s="51"/>
      <c r="K10" s="51"/>
      <c r="L10" s="335"/>
      <c r="M10" s="335"/>
      <c r="N10" s="51"/>
      <c r="O10" s="50"/>
      <c r="P10" s="50"/>
      <c r="Q10" s="50"/>
      <c r="R10" s="441"/>
      <c r="S10" s="336"/>
    </row>
    <row r="11" spans="1:19" ht="15" x14ac:dyDescent="0.25">
      <c r="A11" s="361">
        <v>139</v>
      </c>
      <c r="B11" s="361" t="s">
        <v>148</v>
      </c>
      <c r="C11" s="363" t="s">
        <v>153</v>
      </c>
      <c r="D11" s="365"/>
      <c r="E11" s="366">
        <v>8</v>
      </c>
      <c r="F11" s="366">
        <v>8</v>
      </c>
      <c r="G11" s="366">
        <v>8</v>
      </c>
      <c r="H11" s="366">
        <v>5.5</v>
      </c>
      <c r="I11" s="366">
        <v>6.5</v>
      </c>
      <c r="J11" s="364">
        <f>SUM((E11*0.25)+(F11*0.25)+(G11*0.2)+(H11*0.2)+(I11*0.1))</f>
        <v>7.35</v>
      </c>
      <c r="K11" s="453"/>
      <c r="L11" s="350">
        <v>9</v>
      </c>
      <c r="M11" s="350">
        <v>0</v>
      </c>
      <c r="N11" s="364">
        <f>L11-M11</f>
        <v>9</v>
      </c>
      <c r="O11" s="367"/>
      <c r="P11" s="364">
        <f>J11</f>
        <v>7.35</v>
      </c>
      <c r="Q11" s="364">
        <f>N11</f>
        <v>9</v>
      </c>
      <c r="R11" s="442">
        <f>(N11+J11)/2</f>
        <v>8.1750000000000007</v>
      </c>
      <c r="S11" s="368">
        <v>1</v>
      </c>
    </row>
    <row r="12" spans="1:19" ht="15" x14ac:dyDescent="0.25">
      <c r="A12" s="362">
        <v>140</v>
      </c>
      <c r="B12" s="362" t="s">
        <v>149</v>
      </c>
      <c r="C12" s="371"/>
      <c r="D12" s="336"/>
      <c r="E12" s="337"/>
      <c r="F12" s="337"/>
      <c r="G12" s="337"/>
      <c r="H12" s="337"/>
      <c r="I12" s="337"/>
      <c r="J12" s="51"/>
      <c r="K12" s="51"/>
      <c r="L12" s="335"/>
      <c r="M12" s="335"/>
      <c r="N12" s="51"/>
      <c r="O12" s="50"/>
      <c r="P12" s="50"/>
      <c r="Q12" s="50"/>
      <c r="R12" s="441"/>
      <c r="S12" s="336"/>
    </row>
    <row r="13" spans="1:19" ht="15" x14ac:dyDescent="0.25">
      <c r="A13" s="361">
        <v>138</v>
      </c>
      <c r="B13" s="361" t="s">
        <v>150</v>
      </c>
      <c r="C13" s="361" t="s">
        <v>153</v>
      </c>
      <c r="D13" s="365"/>
      <c r="E13" s="366">
        <v>7.8</v>
      </c>
      <c r="F13" s="366">
        <v>7.5</v>
      </c>
      <c r="G13" s="366">
        <v>7.2</v>
      </c>
      <c r="H13" s="366">
        <v>6.5</v>
      </c>
      <c r="I13" s="366">
        <v>6.5</v>
      </c>
      <c r="J13" s="364">
        <f>SUM((E13*0.25)+(F13*0.25)+(G13*0.2)+(H13*0.2)+(I13*0.1))</f>
        <v>7.2150000000000007</v>
      </c>
      <c r="K13" s="453"/>
      <c r="L13" s="350">
        <v>8.9</v>
      </c>
      <c r="M13" s="350">
        <v>0</v>
      </c>
      <c r="N13" s="364">
        <f>L13-M13</f>
        <v>8.9</v>
      </c>
      <c r="O13" s="367"/>
      <c r="P13" s="364">
        <f>J13</f>
        <v>7.2150000000000007</v>
      </c>
      <c r="Q13" s="364">
        <f>N13</f>
        <v>8.9</v>
      </c>
      <c r="R13" s="442">
        <f>(N13+J13)/2</f>
        <v>8.057500000000001</v>
      </c>
      <c r="S13" s="368">
        <v>2</v>
      </c>
    </row>
    <row r="14" spans="1:19" ht="15" x14ac:dyDescent="0.25">
      <c r="A14" s="362">
        <v>97</v>
      </c>
      <c r="B14" s="362" t="s">
        <v>223</v>
      </c>
      <c r="C14" s="371"/>
      <c r="D14" s="336"/>
      <c r="E14" s="337"/>
      <c r="F14" s="337"/>
      <c r="G14" s="337"/>
      <c r="H14" s="337"/>
      <c r="I14" s="337"/>
      <c r="J14" s="51"/>
      <c r="K14" s="51"/>
      <c r="L14" s="335"/>
      <c r="M14" s="335"/>
      <c r="N14" s="51"/>
      <c r="O14" s="50"/>
      <c r="P14" s="50"/>
      <c r="Q14" s="50"/>
      <c r="R14" s="441"/>
      <c r="S14" s="336"/>
    </row>
    <row r="15" spans="1:19" ht="15" x14ac:dyDescent="0.25">
      <c r="A15" s="361">
        <v>94</v>
      </c>
      <c r="B15" s="361" t="s">
        <v>225</v>
      </c>
      <c r="C15" s="361" t="s">
        <v>185</v>
      </c>
      <c r="D15" s="365"/>
      <c r="E15" s="366">
        <v>7</v>
      </c>
      <c r="F15" s="366">
        <v>7.2</v>
      </c>
      <c r="G15" s="366">
        <v>7.5</v>
      </c>
      <c r="H15" s="366">
        <v>7.5</v>
      </c>
      <c r="I15" s="366">
        <v>6.5</v>
      </c>
      <c r="J15" s="364">
        <f>SUM((E15*0.25)+(F15*0.25)+(G15*0.2)+(H15*0.2)+(I15*0.1))</f>
        <v>7.2</v>
      </c>
      <c r="K15" s="453"/>
      <c r="L15" s="350">
        <v>8.6999999999999993</v>
      </c>
      <c r="M15" s="350">
        <v>0</v>
      </c>
      <c r="N15" s="364">
        <f>L15-M15</f>
        <v>8.6999999999999993</v>
      </c>
      <c r="O15" s="367"/>
      <c r="P15" s="364">
        <f>J15</f>
        <v>7.2</v>
      </c>
      <c r="Q15" s="364">
        <f>N15</f>
        <v>8.6999999999999993</v>
      </c>
      <c r="R15" s="442">
        <f>(N15+J15)/2</f>
        <v>7.9499999999999993</v>
      </c>
      <c r="S15" s="368">
        <v>3</v>
      </c>
    </row>
    <row r="16" spans="1:19" ht="15" x14ac:dyDescent="0.25">
      <c r="A16" s="362">
        <v>141</v>
      </c>
      <c r="B16" s="362" t="s">
        <v>146</v>
      </c>
      <c r="C16" s="371"/>
      <c r="D16" s="336"/>
      <c r="E16" s="337"/>
      <c r="F16" s="337"/>
      <c r="G16" s="337"/>
      <c r="H16" s="337"/>
      <c r="I16" s="337"/>
      <c r="J16" s="51"/>
      <c r="K16" s="51"/>
      <c r="L16" s="335"/>
      <c r="M16" s="335"/>
      <c r="N16" s="51"/>
      <c r="O16" s="50"/>
      <c r="P16" s="50"/>
      <c r="Q16" s="50"/>
      <c r="R16" s="441"/>
      <c r="S16" s="336"/>
    </row>
    <row r="17" spans="1:19" ht="15" x14ac:dyDescent="0.25">
      <c r="A17" s="361">
        <v>142</v>
      </c>
      <c r="B17" s="361" t="s">
        <v>147</v>
      </c>
      <c r="C17" s="361" t="s">
        <v>153</v>
      </c>
      <c r="D17" s="365"/>
      <c r="E17" s="366">
        <v>8</v>
      </c>
      <c r="F17" s="366">
        <v>7.5</v>
      </c>
      <c r="G17" s="366">
        <v>7</v>
      </c>
      <c r="H17" s="366">
        <v>6</v>
      </c>
      <c r="I17" s="366">
        <v>6.5</v>
      </c>
      <c r="J17" s="364">
        <f>SUM((E17*0.25)+(F17*0.25)+(G17*0.2)+(H17*0.2)+(I17*0.1))</f>
        <v>7.1250000000000009</v>
      </c>
      <c r="K17" s="453"/>
      <c r="L17" s="350">
        <v>8.6</v>
      </c>
      <c r="M17" s="350">
        <v>0</v>
      </c>
      <c r="N17" s="364">
        <f>L17-M17</f>
        <v>8.6</v>
      </c>
      <c r="O17" s="367"/>
      <c r="P17" s="364">
        <f>J17</f>
        <v>7.1250000000000009</v>
      </c>
      <c r="Q17" s="364">
        <f>N17</f>
        <v>8.6</v>
      </c>
      <c r="R17" s="442">
        <f>(N17+J17)/2</f>
        <v>7.8625000000000007</v>
      </c>
      <c r="S17" s="368">
        <v>4</v>
      </c>
    </row>
    <row r="18" spans="1:19" ht="15" x14ac:dyDescent="0.25">
      <c r="A18" s="362">
        <v>87</v>
      </c>
      <c r="B18" s="362" t="s">
        <v>126</v>
      </c>
      <c r="C18" s="371"/>
      <c r="D18" s="336"/>
      <c r="E18" s="337"/>
      <c r="F18" s="337"/>
      <c r="G18" s="337"/>
      <c r="H18" s="337"/>
      <c r="I18" s="337"/>
      <c r="J18" s="51"/>
      <c r="K18" s="51"/>
      <c r="L18" s="335"/>
      <c r="M18" s="335"/>
      <c r="N18" s="51"/>
      <c r="O18" s="50"/>
      <c r="P18" s="50"/>
      <c r="Q18" s="50"/>
      <c r="R18" s="441"/>
      <c r="S18" s="336"/>
    </row>
    <row r="19" spans="1:19" ht="15" x14ac:dyDescent="0.25">
      <c r="A19" s="361">
        <v>93</v>
      </c>
      <c r="B19" s="361" t="s">
        <v>127</v>
      </c>
      <c r="C19" s="361" t="s">
        <v>132</v>
      </c>
      <c r="D19" s="365"/>
      <c r="E19" s="366">
        <v>8</v>
      </c>
      <c r="F19" s="366">
        <v>7</v>
      </c>
      <c r="G19" s="366">
        <v>7</v>
      </c>
      <c r="H19" s="366">
        <v>7.5</v>
      </c>
      <c r="I19" s="366">
        <v>6</v>
      </c>
      <c r="J19" s="364">
        <f>SUM((E19*0.25)+(F19*0.25)+(G19*0.2)+(H19*0.2)+(I19*0.1))</f>
        <v>7.25</v>
      </c>
      <c r="K19" s="453"/>
      <c r="L19" s="350">
        <v>8.3000000000000007</v>
      </c>
      <c r="M19" s="350">
        <v>0</v>
      </c>
      <c r="N19" s="364">
        <f>L19-M19</f>
        <v>8.3000000000000007</v>
      </c>
      <c r="O19" s="367"/>
      <c r="P19" s="364">
        <f>J19</f>
        <v>7.25</v>
      </c>
      <c r="Q19" s="364">
        <f>N19</f>
        <v>8.3000000000000007</v>
      </c>
      <c r="R19" s="442">
        <f>(N19+J19)/2</f>
        <v>7.7750000000000004</v>
      </c>
      <c r="S19" s="368">
        <v>5</v>
      </c>
    </row>
    <row r="20" spans="1:19" ht="15" x14ac:dyDescent="0.25">
      <c r="A20" s="362">
        <v>137</v>
      </c>
      <c r="B20" s="362" t="s">
        <v>189</v>
      </c>
      <c r="C20" s="371"/>
      <c r="D20" s="336"/>
      <c r="E20" s="337"/>
      <c r="F20" s="337"/>
      <c r="G20" s="337"/>
      <c r="H20" s="337"/>
      <c r="I20" s="337"/>
      <c r="J20" s="51"/>
      <c r="K20" s="51"/>
      <c r="L20" s="335"/>
      <c r="M20" s="335"/>
      <c r="N20" s="51"/>
      <c r="O20" s="50"/>
      <c r="P20" s="50"/>
      <c r="Q20" s="50"/>
      <c r="R20" s="441"/>
      <c r="S20" s="336"/>
    </row>
    <row r="21" spans="1:19" ht="15" x14ac:dyDescent="0.25">
      <c r="A21" s="361">
        <v>136</v>
      </c>
      <c r="B21" s="361" t="s">
        <v>191</v>
      </c>
      <c r="C21" s="361" t="s">
        <v>153</v>
      </c>
      <c r="D21" s="365"/>
      <c r="E21" s="366">
        <v>7</v>
      </c>
      <c r="F21" s="366">
        <v>7.5</v>
      </c>
      <c r="G21" s="366">
        <v>7</v>
      </c>
      <c r="H21" s="366">
        <v>6</v>
      </c>
      <c r="I21" s="366">
        <v>6.5</v>
      </c>
      <c r="J21" s="364">
        <f>SUM((E21*0.25)+(F21*0.25)+(G21*0.2)+(H21*0.2)+(I21*0.1))</f>
        <v>6.8750000000000009</v>
      </c>
      <c r="K21" s="453"/>
      <c r="L21" s="350">
        <v>8.6</v>
      </c>
      <c r="M21" s="350">
        <v>0</v>
      </c>
      <c r="N21" s="364">
        <f>L21-M21</f>
        <v>8.6</v>
      </c>
      <c r="O21" s="367"/>
      <c r="P21" s="364">
        <f>J21</f>
        <v>6.8750000000000009</v>
      </c>
      <c r="Q21" s="364">
        <f>N21</f>
        <v>8.6</v>
      </c>
      <c r="R21" s="442">
        <f>(N21+J21)/2</f>
        <v>7.7375000000000007</v>
      </c>
      <c r="S21" s="368">
        <v>6</v>
      </c>
    </row>
    <row r="22" spans="1:19" ht="15" x14ac:dyDescent="0.25">
      <c r="A22" s="362">
        <v>155</v>
      </c>
      <c r="B22" s="362" t="s">
        <v>106</v>
      </c>
      <c r="C22" s="371"/>
      <c r="D22" s="336"/>
      <c r="E22" s="337"/>
      <c r="F22" s="337"/>
      <c r="G22" s="337"/>
      <c r="H22" s="337"/>
      <c r="I22" s="337"/>
      <c r="J22" s="51"/>
      <c r="K22" s="51"/>
      <c r="L22" s="335"/>
      <c r="M22" s="335"/>
      <c r="N22" s="51"/>
      <c r="O22" s="50"/>
      <c r="P22" s="50"/>
      <c r="Q22" s="50"/>
      <c r="R22" s="441"/>
      <c r="S22" s="336"/>
    </row>
    <row r="23" spans="1:19" ht="15" x14ac:dyDescent="0.25">
      <c r="A23" s="361">
        <v>151</v>
      </c>
      <c r="B23" s="361" t="s">
        <v>160</v>
      </c>
      <c r="C23" s="361" t="s">
        <v>109</v>
      </c>
      <c r="D23" s="365"/>
      <c r="E23" s="366">
        <v>7</v>
      </c>
      <c r="F23" s="366">
        <v>7.2</v>
      </c>
      <c r="G23" s="366">
        <v>6.5</v>
      </c>
      <c r="H23" s="366">
        <v>7</v>
      </c>
      <c r="I23" s="366">
        <v>6.5</v>
      </c>
      <c r="J23" s="364">
        <f>SUM((E23*0.25)+(F23*0.25)+(G23*0.2)+(H23*0.2)+(I23*0.1))</f>
        <v>6.9</v>
      </c>
      <c r="K23" s="453"/>
      <c r="L23" s="350">
        <v>7.8</v>
      </c>
      <c r="M23" s="350">
        <v>0</v>
      </c>
      <c r="N23" s="364">
        <f>L23-M23</f>
        <v>7.8</v>
      </c>
      <c r="O23" s="367"/>
      <c r="P23" s="364">
        <f>J23</f>
        <v>6.9</v>
      </c>
      <c r="Q23" s="364">
        <f>N23</f>
        <v>7.8</v>
      </c>
      <c r="R23" s="442">
        <f>(N23+J23)/2</f>
        <v>7.35</v>
      </c>
      <c r="S23" s="368"/>
    </row>
    <row r="24" spans="1:19" x14ac:dyDescent="0.2">
      <c r="P24" s="231"/>
      <c r="Q24" s="231"/>
    </row>
  </sheetData>
  <mergeCells count="3">
    <mergeCell ref="A3:B3"/>
    <mergeCell ref="L1:N1"/>
    <mergeCell ref="L2:N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BFD8-1A87-4C7B-9E6D-0B9C4A71EC5B}">
  <dimension ref="A1:S23"/>
  <sheetViews>
    <sheetView workbookViewId="0">
      <pane xSplit="2" topLeftCell="C1" activePane="topRight" state="frozen"/>
      <selection pane="topRight" activeCell="A6" sqref="A6"/>
    </sheetView>
  </sheetViews>
  <sheetFormatPr defaultRowHeight="12.75" x14ac:dyDescent="0.2"/>
  <cols>
    <col min="2" max="2" width="28.5703125" customWidth="1"/>
    <col min="3" max="3" width="13" customWidth="1"/>
    <col min="4" max="4" width="4.42578125" customWidth="1"/>
    <col min="11" max="11" width="3.42578125" customWidth="1"/>
    <col min="15" max="15" width="4.28515625" customWidth="1"/>
    <col min="16" max="16" width="6.7109375" style="443" customWidth="1"/>
    <col min="17" max="17" width="8.5703125" style="443" customWidth="1"/>
    <col min="18" max="18" width="9.140625" style="444"/>
  </cols>
  <sheetData>
    <row r="1" spans="1:19" ht="15.75" x14ac:dyDescent="0.25">
      <c r="A1" s="52" t="str">
        <f>CompDetail!A1</f>
        <v>NSW State Championships</v>
      </c>
      <c r="B1" s="3"/>
      <c r="C1" s="243" t="s">
        <v>144</v>
      </c>
      <c r="L1" s="523"/>
      <c r="M1" s="523"/>
      <c r="N1" s="523"/>
      <c r="O1" s="494"/>
    </row>
    <row r="2" spans="1:19" ht="15.75" x14ac:dyDescent="0.25">
      <c r="A2" s="53"/>
      <c r="B2" s="3"/>
      <c r="C2" s="243" t="s">
        <v>256</v>
      </c>
      <c r="L2" s="523"/>
      <c r="M2" s="523"/>
      <c r="N2" s="523"/>
      <c r="O2" s="494"/>
    </row>
    <row r="3" spans="1:19" ht="15.75" x14ac:dyDescent="0.25">
      <c r="A3" s="520" t="str">
        <f>CompDetail!A3</f>
        <v>June 9 to 11 2018</v>
      </c>
      <c r="B3" s="521"/>
      <c r="C3" s="243" t="s">
        <v>259</v>
      </c>
      <c r="L3" s="494"/>
      <c r="M3" s="494"/>
      <c r="N3" s="494"/>
      <c r="O3" s="494"/>
    </row>
    <row r="4" spans="1:19" ht="15.75" x14ac:dyDescent="0.25">
      <c r="A4" s="246"/>
      <c r="B4" s="247"/>
      <c r="C4" s="494"/>
      <c r="L4" s="494"/>
      <c r="M4" s="494"/>
      <c r="N4" s="494"/>
      <c r="O4" s="494"/>
    </row>
    <row r="5" spans="1:19" ht="15.75" x14ac:dyDescent="0.25">
      <c r="A5" s="52" t="s">
        <v>228</v>
      </c>
      <c r="B5" s="2"/>
      <c r="C5" s="4"/>
      <c r="D5" s="322"/>
      <c r="E5" s="2" t="s">
        <v>58</v>
      </c>
      <c r="F5" s="4" t="str">
        <f>C2</f>
        <v>R Bruderer</v>
      </c>
      <c r="G5" s="4"/>
      <c r="H5" s="2"/>
      <c r="I5" s="4"/>
      <c r="J5" s="323"/>
      <c r="K5" s="322"/>
      <c r="L5" s="325" t="s">
        <v>57</v>
      </c>
      <c r="M5" s="326" t="str">
        <f>C3</f>
        <v>C Wicks</v>
      </c>
      <c r="N5" s="324"/>
      <c r="O5" s="324"/>
      <c r="P5" s="445"/>
      <c r="Q5" s="445"/>
      <c r="R5" s="445"/>
      <c r="S5" s="322"/>
    </row>
    <row r="6" spans="1:19" ht="15.75" x14ac:dyDescent="0.25">
      <c r="A6" s="52" t="s">
        <v>64</v>
      </c>
      <c r="B6" s="2" t="s">
        <v>251</v>
      </c>
      <c r="C6" s="4"/>
      <c r="D6" s="322"/>
      <c r="E6" s="4"/>
      <c r="F6" s="4"/>
      <c r="G6" s="4"/>
      <c r="H6" s="4"/>
      <c r="I6" s="4"/>
      <c r="J6" s="323"/>
      <c r="K6" s="322"/>
      <c r="L6" s="322"/>
      <c r="M6" s="322"/>
      <c r="N6" s="324"/>
      <c r="O6" s="324"/>
      <c r="P6" s="445"/>
      <c r="Q6" s="445"/>
      <c r="R6" s="445"/>
      <c r="S6" s="322"/>
    </row>
    <row r="7" spans="1:19" ht="15" x14ac:dyDescent="0.25">
      <c r="A7" s="4"/>
      <c r="B7" s="4"/>
      <c r="C7" s="4"/>
      <c r="D7" s="322"/>
      <c r="E7" s="2"/>
      <c r="F7" s="4"/>
      <c r="G7" s="4"/>
      <c r="H7" s="4"/>
      <c r="I7" s="4"/>
      <c r="J7" s="328"/>
      <c r="K7" s="322"/>
      <c r="L7" s="322"/>
      <c r="M7" s="322"/>
      <c r="N7" s="328"/>
      <c r="O7" s="328"/>
      <c r="P7" s="445"/>
      <c r="Q7" s="445"/>
      <c r="R7" s="446"/>
      <c r="S7" s="323"/>
    </row>
    <row r="8" spans="1:19" ht="15" x14ac:dyDescent="0.25">
      <c r="A8" s="55" t="s">
        <v>33</v>
      </c>
      <c r="B8" s="55" t="s">
        <v>34</v>
      </c>
      <c r="C8" s="55" t="s">
        <v>37</v>
      </c>
      <c r="D8" s="331"/>
      <c r="E8" s="87" t="s">
        <v>23</v>
      </c>
      <c r="F8" s="55"/>
      <c r="G8" s="55"/>
      <c r="H8" s="55"/>
      <c r="I8" s="55"/>
      <c r="J8" s="330" t="s">
        <v>23</v>
      </c>
      <c r="K8" s="331"/>
      <c r="L8" s="329"/>
      <c r="M8" s="329"/>
      <c r="N8" s="330" t="s">
        <v>68</v>
      </c>
      <c r="O8" s="452"/>
      <c r="P8" s="445"/>
      <c r="Q8" s="445"/>
      <c r="R8" s="440" t="s">
        <v>24</v>
      </c>
      <c r="S8" s="328"/>
    </row>
    <row r="9" spans="1:19" ht="15" x14ac:dyDescent="0.25">
      <c r="A9" s="55"/>
      <c r="B9" s="55"/>
      <c r="C9" s="55"/>
      <c r="D9" s="332"/>
      <c r="E9" s="55" t="s">
        <v>12</v>
      </c>
      <c r="F9" s="55" t="s">
        <v>13</v>
      </c>
      <c r="G9" s="55" t="s">
        <v>14</v>
      </c>
      <c r="H9" s="55" t="s">
        <v>15</v>
      </c>
      <c r="I9" s="55" t="s">
        <v>16</v>
      </c>
      <c r="J9" s="330" t="s">
        <v>24</v>
      </c>
      <c r="K9" s="332"/>
      <c r="L9" s="322" t="s">
        <v>45</v>
      </c>
      <c r="M9" s="322" t="s">
        <v>80</v>
      </c>
      <c r="N9" s="330" t="s">
        <v>24</v>
      </c>
      <c r="O9" s="452"/>
      <c r="P9" s="449" t="s">
        <v>101</v>
      </c>
      <c r="Q9" s="449" t="s">
        <v>102</v>
      </c>
      <c r="R9" s="440" t="s">
        <v>41</v>
      </c>
      <c r="S9" s="333" t="s">
        <v>44</v>
      </c>
    </row>
    <row r="10" spans="1:19" ht="15" x14ac:dyDescent="0.25">
      <c r="A10" s="362">
        <v>156</v>
      </c>
      <c r="B10" s="319" t="s">
        <v>110</v>
      </c>
      <c r="C10" s="371"/>
      <c r="D10" s="336"/>
      <c r="E10" s="337"/>
      <c r="F10" s="337"/>
      <c r="G10" s="337"/>
      <c r="H10" s="337"/>
      <c r="I10" s="337"/>
      <c r="J10" s="51"/>
      <c r="K10" s="50"/>
      <c r="L10" s="335"/>
      <c r="M10" s="335"/>
      <c r="N10" s="51"/>
      <c r="O10" s="51"/>
      <c r="P10" s="447"/>
      <c r="Q10" s="447"/>
      <c r="R10" s="441"/>
      <c r="S10" s="336"/>
    </row>
    <row r="11" spans="1:19" ht="15" x14ac:dyDescent="0.25">
      <c r="A11" s="361">
        <v>153</v>
      </c>
      <c r="B11" s="320" t="s">
        <v>159</v>
      </c>
      <c r="C11" s="363" t="s">
        <v>109</v>
      </c>
      <c r="D11" s="365"/>
      <c r="E11" s="366">
        <v>6.3</v>
      </c>
      <c r="F11" s="366">
        <v>6.5</v>
      </c>
      <c r="G11" s="366">
        <v>5.3</v>
      </c>
      <c r="H11" s="366">
        <v>3</v>
      </c>
      <c r="I11" s="366">
        <v>5.7</v>
      </c>
      <c r="J11" s="364">
        <f>SUM((E11*0.25)+(F11*0.25)+(G11*0.2)+(H11*0.2)+(I11*0.1))</f>
        <v>5.43</v>
      </c>
      <c r="K11" s="367"/>
      <c r="L11" s="350">
        <v>7.4</v>
      </c>
      <c r="M11" s="350">
        <v>0</v>
      </c>
      <c r="N11" s="364">
        <f>L11-M11</f>
        <v>7.4</v>
      </c>
      <c r="O11" s="453"/>
      <c r="P11" s="448">
        <f>J11</f>
        <v>5.43</v>
      </c>
      <c r="Q11" s="448">
        <f>N11</f>
        <v>7.4</v>
      </c>
      <c r="R11" s="442">
        <f>(N11+J11)/2</f>
        <v>6.415</v>
      </c>
      <c r="S11" s="368">
        <v>1</v>
      </c>
    </row>
    <row r="12" spans="1:19" ht="15" x14ac:dyDescent="0.25">
      <c r="A12" s="362">
        <v>95</v>
      </c>
      <c r="B12" s="319" t="s">
        <v>202</v>
      </c>
      <c r="C12" s="371"/>
      <c r="D12" s="336"/>
      <c r="E12" s="337"/>
      <c r="F12" s="337"/>
      <c r="G12" s="337"/>
      <c r="H12" s="337"/>
      <c r="I12" s="337"/>
      <c r="J12" s="51"/>
      <c r="K12" s="50"/>
      <c r="L12" s="335"/>
      <c r="M12" s="335"/>
      <c r="N12" s="51"/>
      <c r="O12" s="51"/>
      <c r="P12" s="447"/>
      <c r="Q12" s="447"/>
      <c r="R12" s="441"/>
      <c r="S12" s="336"/>
    </row>
    <row r="13" spans="1:19" ht="15" x14ac:dyDescent="0.25">
      <c r="A13" s="361">
        <v>96</v>
      </c>
      <c r="B13" s="320" t="s">
        <v>226</v>
      </c>
      <c r="C13" s="361" t="s">
        <v>185</v>
      </c>
      <c r="D13" s="365"/>
      <c r="E13" s="366">
        <v>5</v>
      </c>
      <c r="F13" s="366">
        <v>5</v>
      </c>
      <c r="G13" s="366">
        <v>5</v>
      </c>
      <c r="H13" s="366">
        <v>4.5</v>
      </c>
      <c r="I13" s="366">
        <v>4.9000000000000004</v>
      </c>
      <c r="J13" s="364">
        <f>SUM((E13*0.25)+(F13*0.25)+(G13*0.2)+(H13*0.2)+(I13*0.1))</f>
        <v>4.8900000000000006</v>
      </c>
      <c r="K13" s="367"/>
      <c r="L13" s="350">
        <v>7.6</v>
      </c>
      <c r="M13" s="350">
        <v>0</v>
      </c>
      <c r="N13" s="364">
        <f>L13-M13</f>
        <v>7.6</v>
      </c>
      <c r="O13" s="453"/>
      <c r="P13" s="448">
        <f>J13</f>
        <v>4.8900000000000006</v>
      </c>
      <c r="Q13" s="448">
        <f>N13</f>
        <v>7.6</v>
      </c>
      <c r="R13" s="442">
        <f>(N13+J13)/2</f>
        <v>6.2450000000000001</v>
      </c>
      <c r="S13" s="368">
        <v>2</v>
      </c>
    </row>
    <row r="14" spans="1:19" ht="15" x14ac:dyDescent="0.25">
      <c r="A14" s="362">
        <v>157</v>
      </c>
      <c r="B14" s="319" t="s">
        <v>112</v>
      </c>
      <c r="C14" s="334"/>
      <c r="D14" s="336"/>
      <c r="E14" s="337"/>
      <c r="F14" s="337"/>
      <c r="G14" s="337"/>
      <c r="H14" s="337"/>
      <c r="I14" s="337"/>
      <c r="J14" s="51"/>
      <c r="K14" s="50"/>
      <c r="L14" s="335"/>
      <c r="M14" s="335"/>
      <c r="N14" s="51"/>
      <c r="O14" s="51"/>
      <c r="P14" s="447"/>
      <c r="Q14" s="447"/>
      <c r="R14" s="441"/>
      <c r="S14" s="336"/>
    </row>
    <row r="15" spans="1:19" ht="15" x14ac:dyDescent="0.25">
      <c r="A15" s="361">
        <v>154</v>
      </c>
      <c r="B15" s="320" t="s">
        <v>111</v>
      </c>
      <c r="C15" s="361" t="s">
        <v>109</v>
      </c>
      <c r="D15" s="365"/>
      <c r="E15" s="366">
        <v>5.3</v>
      </c>
      <c r="F15" s="366">
        <v>5</v>
      </c>
      <c r="G15" s="366">
        <v>5.5</v>
      </c>
      <c r="H15" s="366">
        <v>3</v>
      </c>
      <c r="I15" s="366">
        <v>4</v>
      </c>
      <c r="J15" s="364">
        <f>SUM((E15*0.25)+(F15*0.25)+(G15*0.2)+(H15*0.2)+(I15*0.1))</f>
        <v>4.6750000000000007</v>
      </c>
      <c r="K15" s="367"/>
      <c r="L15" s="350">
        <v>7.1</v>
      </c>
      <c r="M15" s="350">
        <v>0</v>
      </c>
      <c r="N15" s="364">
        <f>L15-M15</f>
        <v>7.1</v>
      </c>
      <c r="O15" s="453"/>
      <c r="P15" s="448">
        <f>J15</f>
        <v>4.6750000000000007</v>
      </c>
      <c r="Q15" s="448">
        <f>N15</f>
        <v>7.1</v>
      </c>
      <c r="R15" s="442">
        <f>(N15+J15)/2</f>
        <v>5.8875000000000002</v>
      </c>
      <c r="S15" s="368">
        <v>3</v>
      </c>
    </row>
    <row r="16" spans="1:19" ht="15" x14ac:dyDescent="0.25">
      <c r="A16" s="362">
        <v>148</v>
      </c>
      <c r="B16" s="319" t="s">
        <v>113</v>
      </c>
      <c r="C16" s="371" t="s">
        <v>116</v>
      </c>
      <c r="D16" s="336"/>
      <c r="E16" s="337"/>
      <c r="F16" s="337"/>
      <c r="G16" s="337"/>
      <c r="H16" s="337"/>
      <c r="I16" s="337"/>
      <c r="J16" s="51"/>
      <c r="K16" s="50"/>
      <c r="L16" s="335"/>
      <c r="M16" s="335"/>
      <c r="N16" s="51"/>
      <c r="O16" s="51"/>
      <c r="P16" s="447"/>
      <c r="Q16" s="447"/>
      <c r="R16" s="441"/>
      <c r="S16" s="336"/>
    </row>
    <row r="17" spans="1:19" ht="15" x14ac:dyDescent="0.25">
      <c r="A17" s="361">
        <v>114</v>
      </c>
      <c r="B17" s="320" t="s">
        <v>173</v>
      </c>
      <c r="C17" s="361" t="s">
        <v>123</v>
      </c>
      <c r="D17" s="365"/>
      <c r="E17" s="366">
        <v>4.5</v>
      </c>
      <c r="F17" s="366">
        <v>4.5</v>
      </c>
      <c r="G17" s="366">
        <v>3</v>
      </c>
      <c r="H17" s="366">
        <v>2</v>
      </c>
      <c r="I17" s="366">
        <v>2.5</v>
      </c>
      <c r="J17" s="364">
        <f>SUM((E17*0.25)+(F17*0.25)+(G17*0.2)+(H17*0.2)+(I17*0.1))</f>
        <v>3.5</v>
      </c>
      <c r="K17" s="367"/>
      <c r="L17" s="350">
        <v>7.7</v>
      </c>
      <c r="M17" s="350">
        <v>0</v>
      </c>
      <c r="N17" s="364">
        <f>L17-M17</f>
        <v>7.7</v>
      </c>
      <c r="O17" s="453"/>
      <c r="P17" s="448">
        <f>J17</f>
        <v>3.5</v>
      </c>
      <c r="Q17" s="448">
        <f>N17</f>
        <v>7.7</v>
      </c>
      <c r="R17" s="442">
        <f>(N17+J17)/2</f>
        <v>5.6</v>
      </c>
      <c r="S17" s="368">
        <v>4</v>
      </c>
    </row>
    <row r="18" spans="1:19" ht="15" x14ac:dyDescent="0.25">
      <c r="A18" s="362">
        <v>103</v>
      </c>
      <c r="B18" s="319" t="s">
        <v>164</v>
      </c>
      <c r="C18" s="370"/>
      <c r="D18" s="336"/>
      <c r="E18" s="337"/>
      <c r="F18" s="337"/>
      <c r="G18" s="337"/>
      <c r="H18" s="337"/>
      <c r="I18" s="337"/>
      <c r="J18" s="51"/>
      <c r="K18" s="50"/>
      <c r="L18" s="335"/>
      <c r="M18" s="335"/>
      <c r="N18" s="51"/>
      <c r="O18" s="51"/>
      <c r="P18" s="447"/>
      <c r="Q18" s="447"/>
      <c r="R18" s="441"/>
      <c r="S18" s="336"/>
    </row>
    <row r="19" spans="1:19" ht="15" x14ac:dyDescent="0.25">
      <c r="A19" s="361">
        <v>104</v>
      </c>
      <c r="B19" s="320" t="s">
        <v>166</v>
      </c>
      <c r="C19" s="361" t="s">
        <v>141</v>
      </c>
      <c r="D19" s="365"/>
      <c r="E19" s="366">
        <v>4.5</v>
      </c>
      <c r="F19" s="366">
        <v>4.8</v>
      </c>
      <c r="G19" s="366">
        <v>3</v>
      </c>
      <c r="H19" s="366">
        <v>3</v>
      </c>
      <c r="I19" s="366">
        <v>3.7</v>
      </c>
      <c r="J19" s="364">
        <f>SUM((E19*0.25)+(F19*0.25)+(G19*0.2)+(H19*0.2)+(I19*0.1))</f>
        <v>3.8950000000000005</v>
      </c>
      <c r="K19" s="367"/>
      <c r="L19" s="350">
        <v>6.7</v>
      </c>
      <c r="M19" s="350">
        <v>0</v>
      </c>
      <c r="N19" s="364">
        <f>L19-M19</f>
        <v>6.7</v>
      </c>
      <c r="O19" s="453"/>
      <c r="P19" s="448">
        <f>J19</f>
        <v>3.8950000000000005</v>
      </c>
      <c r="Q19" s="448">
        <f>N19</f>
        <v>6.7</v>
      </c>
      <c r="R19" s="442">
        <f>(N19+J19)/2</f>
        <v>5.2975000000000003</v>
      </c>
      <c r="S19" s="368">
        <v>5</v>
      </c>
    </row>
    <row r="20" spans="1:19" ht="15" x14ac:dyDescent="0.25">
      <c r="A20" s="362">
        <v>125</v>
      </c>
      <c r="B20" s="319" t="s">
        <v>206</v>
      </c>
      <c r="C20" s="371"/>
      <c r="D20" s="336"/>
      <c r="E20" s="337"/>
      <c r="F20" s="337"/>
      <c r="G20" s="337"/>
      <c r="H20" s="337"/>
      <c r="I20" s="337"/>
      <c r="J20" s="51"/>
      <c r="K20" s="50"/>
      <c r="L20" s="335"/>
      <c r="M20" s="335"/>
      <c r="N20" s="51"/>
      <c r="O20" s="51"/>
      <c r="P20" s="447"/>
      <c r="Q20" s="447"/>
      <c r="R20" s="441"/>
      <c r="S20" s="336"/>
    </row>
    <row r="21" spans="1:19" ht="15" x14ac:dyDescent="0.25">
      <c r="A21" s="361">
        <v>119</v>
      </c>
      <c r="B21" s="320" t="s">
        <v>211</v>
      </c>
      <c r="C21" s="361" t="s">
        <v>120</v>
      </c>
      <c r="D21" s="365"/>
      <c r="E21" s="366">
        <v>3</v>
      </c>
      <c r="F21" s="366">
        <v>3</v>
      </c>
      <c r="G21" s="366">
        <v>2</v>
      </c>
      <c r="H21" s="366">
        <v>2</v>
      </c>
      <c r="I21" s="366">
        <v>2.5</v>
      </c>
      <c r="J21" s="364">
        <f>SUM((E21*0.25)+(F21*0.25)+(G21*0.2)+(H21*0.2)+(I21*0.1))</f>
        <v>2.5499999999999998</v>
      </c>
      <c r="K21" s="367"/>
      <c r="L21" s="350">
        <v>7.4</v>
      </c>
      <c r="M21" s="350">
        <v>0</v>
      </c>
      <c r="N21" s="364">
        <f>L21-M21</f>
        <v>7.4</v>
      </c>
      <c r="O21" s="453"/>
      <c r="P21" s="448">
        <f>J21</f>
        <v>2.5499999999999998</v>
      </c>
      <c r="Q21" s="448">
        <f>N21</f>
        <v>7.4</v>
      </c>
      <c r="R21" s="442">
        <f>(N21+J21)/2</f>
        <v>4.9749999999999996</v>
      </c>
      <c r="S21" s="368">
        <v>6</v>
      </c>
    </row>
    <row r="22" spans="1:19" ht="15" x14ac:dyDescent="0.25">
      <c r="A22" s="319">
        <v>124</v>
      </c>
      <c r="B22" s="319" t="s">
        <v>210</v>
      </c>
      <c r="C22" s="371"/>
      <c r="D22" s="336"/>
      <c r="E22" s="337"/>
      <c r="F22" s="337"/>
      <c r="G22" s="337"/>
      <c r="H22" s="337"/>
      <c r="I22" s="337"/>
      <c r="J22" s="51"/>
      <c r="K22" s="50"/>
      <c r="L22" s="335"/>
      <c r="M22" s="335"/>
      <c r="N22" s="51"/>
      <c r="O22" s="51"/>
      <c r="P22" s="447"/>
      <c r="Q22" s="447"/>
      <c r="R22" s="441"/>
      <c r="S22" s="336"/>
    </row>
    <row r="23" spans="1:19" ht="15" x14ac:dyDescent="0.25">
      <c r="A23" s="320">
        <v>127</v>
      </c>
      <c r="B23" s="369" t="s">
        <v>227</v>
      </c>
      <c r="C23" s="361" t="s">
        <v>120</v>
      </c>
      <c r="D23" s="365"/>
      <c r="E23" s="366">
        <v>2</v>
      </c>
      <c r="F23" s="366">
        <v>2</v>
      </c>
      <c r="G23" s="366">
        <v>2</v>
      </c>
      <c r="H23" s="366">
        <v>2</v>
      </c>
      <c r="I23" s="366">
        <v>2</v>
      </c>
      <c r="J23" s="364">
        <f>SUM((E23*0.25)+(F23*0.25)+(G23*0.2)+(H23*0.2)+(I23*0.1))</f>
        <v>1.9999999999999998</v>
      </c>
      <c r="K23" s="367"/>
      <c r="L23" s="350">
        <v>6.7</v>
      </c>
      <c r="M23" s="350">
        <v>0</v>
      </c>
      <c r="N23" s="364">
        <f>L23-M23</f>
        <v>6.7</v>
      </c>
      <c r="O23" s="453"/>
      <c r="P23" s="448">
        <f>J23</f>
        <v>1.9999999999999998</v>
      </c>
      <c r="Q23" s="448">
        <f>N23</f>
        <v>6.7</v>
      </c>
      <c r="R23" s="442">
        <f>(N23+J23)/2</f>
        <v>4.3499999999999996</v>
      </c>
      <c r="S23" s="368"/>
    </row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D1B9-7D3D-49A9-9845-C3ED07CAE701}">
  <dimension ref="A1:H53"/>
  <sheetViews>
    <sheetView workbookViewId="0">
      <selection activeCell="A3" sqref="A3"/>
    </sheetView>
  </sheetViews>
  <sheetFormatPr defaultRowHeight="12.75" x14ac:dyDescent="0.2"/>
  <sheetData>
    <row r="1" spans="1:8" ht="15" x14ac:dyDescent="0.25">
      <c r="A1" s="500" t="s">
        <v>275</v>
      </c>
      <c r="B1" s="500"/>
      <c r="C1" s="500"/>
      <c r="D1" s="500"/>
      <c r="E1" s="501"/>
      <c r="F1" s="501"/>
      <c r="G1" s="501"/>
      <c r="H1" s="501"/>
    </row>
    <row r="2" spans="1:8" ht="15" x14ac:dyDescent="0.25">
      <c r="A2" s="500"/>
      <c r="B2" s="500"/>
      <c r="C2" s="500"/>
      <c r="D2" s="500"/>
      <c r="E2" s="501"/>
      <c r="F2" s="501"/>
      <c r="G2" s="501"/>
      <c r="H2" s="501"/>
    </row>
    <row r="3" spans="1:8" ht="15" x14ac:dyDescent="0.25">
      <c r="A3" s="500" t="s">
        <v>276</v>
      </c>
      <c r="B3" s="500"/>
      <c r="C3" s="500"/>
      <c r="D3" s="500"/>
      <c r="E3" s="501"/>
      <c r="F3" s="501"/>
      <c r="G3" s="501"/>
      <c r="H3" s="501"/>
    </row>
    <row r="4" spans="1:8" ht="15" x14ac:dyDescent="0.25">
      <c r="A4" s="500"/>
      <c r="B4" s="500"/>
      <c r="C4" s="500"/>
      <c r="D4" s="500"/>
      <c r="E4" s="501"/>
      <c r="F4" s="501"/>
      <c r="G4" s="501"/>
      <c r="H4" s="501"/>
    </row>
    <row r="5" spans="1:8" ht="15" x14ac:dyDescent="0.25">
      <c r="A5" s="502" t="s">
        <v>290</v>
      </c>
      <c r="B5" s="502"/>
      <c r="C5" s="500"/>
      <c r="D5" s="500"/>
      <c r="E5" s="501"/>
      <c r="F5" s="501"/>
      <c r="G5" s="501"/>
      <c r="H5" s="501"/>
    </row>
    <row r="6" spans="1:8" ht="15" x14ac:dyDescent="0.25">
      <c r="A6" s="500"/>
      <c r="B6" s="500"/>
      <c r="C6" s="500"/>
      <c r="D6" s="500"/>
      <c r="E6" s="501"/>
      <c r="F6" s="501"/>
      <c r="G6" s="501"/>
      <c r="H6" s="501"/>
    </row>
    <row r="7" spans="1:8" ht="15" x14ac:dyDescent="0.25">
      <c r="A7" s="500" t="s">
        <v>277</v>
      </c>
      <c r="B7" s="500"/>
      <c r="C7" s="500"/>
      <c r="D7" s="500"/>
      <c r="E7" s="501"/>
      <c r="F7" s="501"/>
      <c r="G7" s="501"/>
      <c r="H7" s="501"/>
    </row>
    <row r="8" spans="1:8" ht="15" x14ac:dyDescent="0.25">
      <c r="A8" s="503" t="s">
        <v>172</v>
      </c>
      <c r="B8" s="500"/>
      <c r="C8" s="500"/>
      <c r="D8" s="500"/>
      <c r="E8" s="501"/>
      <c r="F8" s="501"/>
      <c r="G8" s="501"/>
      <c r="H8" s="501"/>
    </row>
    <row r="9" spans="1:8" ht="15" x14ac:dyDescent="0.25">
      <c r="A9" s="500"/>
      <c r="B9" s="500"/>
      <c r="C9" s="500"/>
      <c r="D9" s="500"/>
      <c r="E9" s="501"/>
      <c r="F9" s="501"/>
      <c r="G9" s="501"/>
      <c r="H9" s="501"/>
    </row>
    <row r="10" spans="1:8" ht="15" x14ac:dyDescent="0.25">
      <c r="A10" s="500" t="s">
        <v>278</v>
      </c>
      <c r="B10" s="500"/>
      <c r="C10" s="500"/>
      <c r="D10" s="500"/>
      <c r="E10" s="501"/>
      <c r="F10" s="501"/>
      <c r="G10" s="501"/>
      <c r="H10" s="501"/>
    </row>
    <row r="11" spans="1:8" ht="15" x14ac:dyDescent="0.25">
      <c r="A11" s="503" t="s">
        <v>215</v>
      </c>
      <c r="B11" s="500"/>
      <c r="C11" s="500"/>
      <c r="D11" s="500"/>
      <c r="E11" s="501"/>
      <c r="F11" s="501"/>
      <c r="G11" s="501"/>
      <c r="H11" s="501"/>
    </row>
    <row r="12" spans="1:8" ht="15" x14ac:dyDescent="0.25">
      <c r="A12" s="500"/>
      <c r="B12" s="500"/>
      <c r="C12" s="500"/>
      <c r="D12" s="500"/>
      <c r="E12" s="501"/>
      <c r="F12" s="501"/>
      <c r="G12" s="501"/>
      <c r="H12" s="501"/>
    </row>
    <row r="13" spans="1:8" ht="15" x14ac:dyDescent="0.25">
      <c r="A13" s="500" t="s">
        <v>279</v>
      </c>
      <c r="B13" s="500"/>
      <c r="C13" s="500"/>
      <c r="D13" s="500"/>
      <c r="E13" s="501"/>
      <c r="F13" s="501"/>
      <c r="G13" s="501"/>
      <c r="H13" s="501"/>
    </row>
    <row r="14" spans="1:8" ht="15" x14ac:dyDescent="0.25">
      <c r="A14" s="503" t="s">
        <v>178</v>
      </c>
      <c r="B14" s="501"/>
      <c r="C14" s="501"/>
      <c r="D14" s="501"/>
      <c r="E14" s="501"/>
      <c r="F14" s="501"/>
      <c r="G14" s="501"/>
      <c r="H14" s="501"/>
    </row>
    <row r="15" spans="1:8" ht="14.25" x14ac:dyDescent="0.2">
      <c r="A15" s="501"/>
      <c r="B15" s="501"/>
      <c r="C15" s="501"/>
      <c r="D15" s="501"/>
      <c r="E15" s="501"/>
      <c r="F15" s="501"/>
      <c r="G15" s="501"/>
      <c r="H15" s="501"/>
    </row>
    <row r="16" spans="1:8" ht="15" x14ac:dyDescent="0.25">
      <c r="A16" s="500" t="s">
        <v>280</v>
      </c>
      <c r="B16" s="501"/>
      <c r="C16" s="501"/>
      <c r="D16" s="501"/>
      <c r="E16" s="501"/>
      <c r="F16" s="501"/>
      <c r="G16" s="501"/>
      <c r="H16" s="501"/>
    </row>
    <row r="17" spans="1:8" ht="14.25" x14ac:dyDescent="0.2">
      <c r="A17" s="319" t="s">
        <v>294</v>
      </c>
      <c r="B17" s="501"/>
      <c r="C17" s="501"/>
      <c r="D17" s="501"/>
      <c r="E17" s="501"/>
      <c r="F17" s="501"/>
      <c r="G17" s="501"/>
      <c r="H17" s="501"/>
    </row>
    <row r="18" spans="1:8" ht="14.25" x14ac:dyDescent="0.2">
      <c r="A18" s="319"/>
      <c r="B18" s="501"/>
      <c r="C18" s="501"/>
      <c r="D18" s="501"/>
      <c r="E18" s="501"/>
      <c r="F18" s="501"/>
      <c r="G18" s="501"/>
      <c r="H18" s="501"/>
    </row>
    <row r="19" spans="1:8" ht="15" x14ac:dyDescent="0.25">
      <c r="A19" s="500" t="s">
        <v>281</v>
      </c>
      <c r="B19" s="501"/>
      <c r="C19" s="501"/>
      <c r="D19" s="501"/>
      <c r="E19" s="501"/>
      <c r="F19" s="501"/>
      <c r="G19" s="501"/>
      <c r="H19" s="501"/>
    </row>
    <row r="20" spans="1:8" ht="14.25" x14ac:dyDescent="0.2">
      <c r="A20" s="501" t="s">
        <v>287</v>
      </c>
      <c r="B20" s="501"/>
      <c r="C20" s="501"/>
      <c r="D20" s="501"/>
      <c r="E20" s="501"/>
      <c r="F20" s="501"/>
      <c r="G20" s="501"/>
      <c r="H20" s="501"/>
    </row>
    <row r="21" spans="1:8" ht="14.25" x14ac:dyDescent="0.2">
      <c r="A21" s="501"/>
      <c r="B21" s="501"/>
      <c r="C21" s="501"/>
      <c r="D21" s="501"/>
      <c r="E21" s="501"/>
      <c r="F21" s="501"/>
      <c r="G21" s="501"/>
      <c r="H21" s="501"/>
    </row>
    <row r="22" spans="1:8" ht="15" x14ac:dyDescent="0.25">
      <c r="A22" s="502" t="s">
        <v>282</v>
      </c>
      <c r="B22" s="504"/>
      <c r="C22" s="504"/>
      <c r="D22" s="504"/>
      <c r="E22" s="501"/>
      <c r="F22" s="501"/>
      <c r="G22" s="501"/>
      <c r="H22" s="501"/>
    </row>
    <row r="23" spans="1:8" ht="14.25" x14ac:dyDescent="0.2">
      <c r="A23" s="501"/>
      <c r="B23" s="501"/>
      <c r="C23" s="501"/>
      <c r="D23" s="501"/>
      <c r="E23" s="501"/>
      <c r="F23" s="501"/>
      <c r="G23" s="501"/>
      <c r="H23" s="501"/>
    </row>
    <row r="24" spans="1:8" ht="15" x14ac:dyDescent="0.25">
      <c r="A24" s="500" t="s">
        <v>283</v>
      </c>
      <c r="B24" s="501"/>
      <c r="C24" s="501"/>
      <c r="D24" s="501"/>
      <c r="E24" s="501"/>
      <c r="F24" s="501"/>
      <c r="G24" s="501"/>
      <c r="H24" s="501"/>
    </row>
    <row r="25" spans="1:8" ht="14.25" x14ac:dyDescent="0.2">
      <c r="A25" s="501"/>
      <c r="B25" s="501"/>
      <c r="C25" s="501"/>
      <c r="D25" s="501"/>
      <c r="E25" s="501"/>
      <c r="F25" s="501"/>
      <c r="G25" s="501"/>
      <c r="H25" s="501"/>
    </row>
    <row r="26" spans="1:8" ht="14.25" x14ac:dyDescent="0.2">
      <c r="A26" s="501" t="s">
        <v>284</v>
      </c>
      <c r="B26" s="501"/>
      <c r="C26" s="501"/>
      <c r="D26" s="501"/>
      <c r="E26" s="501"/>
      <c r="F26" s="501"/>
      <c r="G26" s="501"/>
      <c r="H26" s="501"/>
    </row>
    <row r="27" spans="1:8" ht="14.25" x14ac:dyDescent="0.2">
      <c r="A27" s="501"/>
      <c r="B27" s="501"/>
      <c r="C27" s="501"/>
      <c r="D27" s="501"/>
      <c r="E27" s="501"/>
      <c r="F27" s="501"/>
      <c r="G27" s="501"/>
      <c r="H27" s="501"/>
    </row>
    <row r="28" spans="1:8" ht="15" x14ac:dyDescent="0.25">
      <c r="A28" s="500" t="s">
        <v>285</v>
      </c>
      <c r="B28" s="501"/>
      <c r="C28" s="501"/>
      <c r="D28" s="501"/>
      <c r="E28" s="501"/>
      <c r="F28" s="501"/>
      <c r="G28" s="501"/>
      <c r="H28" s="501"/>
    </row>
    <row r="29" spans="1:8" ht="14.25" x14ac:dyDescent="0.2">
      <c r="A29" s="501" t="s">
        <v>288</v>
      </c>
      <c r="B29" s="501"/>
      <c r="C29" s="501"/>
      <c r="D29" s="501"/>
      <c r="E29" s="501"/>
      <c r="F29" s="501"/>
      <c r="G29" s="501"/>
      <c r="H29" s="501"/>
    </row>
    <row r="30" spans="1:8" ht="14.25" x14ac:dyDescent="0.2">
      <c r="A30" s="501"/>
      <c r="B30" s="501"/>
      <c r="C30" s="501"/>
      <c r="D30" s="501"/>
      <c r="E30" s="501"/>
      <c r="F30" s="501"/>
      <c r="G30" s="501"/>
      <c r="H30" s="501"/>
    </row>
    <row r="31" spans="1:8" ht="15" x14ac:dyDescent="0.25">
      <c r="A31" s="500" t="s">
        <v>286</v>
      </c>
      <c r="B31" s="501"/>
      <c r="C31" s="501"/>
      <c r="D31" s="501"/>
      <c r="E31" s="501"/>
      <c r="F31" s="501"/>
      <c r="G31" s="501"/>
      <c r="H31" s="501"/>
    </row>
    <row r="32" spans="1:8" ht="14.25" x14ac:dyDescent="0.2">
      <c r="A32" s="501" t="s">
        <v>289</v>
      </c>
      <c r="B32" s="501"/>
      <c r="C32" s="501"/>
      <c r="D32" s="501"/>
      <c r="E32" s="501"/>
      <c r="F32" s="501"/>
      <c r="G32" s="501"/>
      <c r="H32" s="501"/>
    </row>
    <row r="33" spans="1:8" ht="14.25" x14ac:dyDescent="0.2">
      <c r="A33" s="501"/>
      <c r="B33" s="501"/>
      <c r="C33" s="501"/>
      <c r="D33" s="501"/>
      <c r="E33" s="501"/>
      <c r="F33" s="501"/>
      <c r="G33" s="501"/>
      <c r="H33" s="501"/>
    </row>
    <row r="34" spans="1:8" ht="14.25" x14ac:dyDescent="0.2">
      <c r="A34" s="501"/>
      <c r="B34" s="501"/>
      <c r="C34" s="501"/>
      <c r="D34" s="501"/>
      <c r="E34" s="501"/>
      <c r="F34" s="501"/>
      <c r="G34" s="501"/>
      <c r="H34" s="501"/>
    </row>
    <row r="35" spans="1:8" ht="14.25" x14ac:dyDescent="0.2">
      <c r="A35" s="501"/>
      <c r="B35" s="501"/>
      <c r="C35" s="501"/>
      <c r="D35" s="501"/>
      <c r="E35" s="501"/>
      <c r="F35" s="501"/>
      <c r="G35" s="501"/>
      <c r="H35" s="501"/>
    </row>
    <row r="36" spans="1:8" ht="14.25" x14ac:dyDescent="0.2">
      <c r="A36" s="501"/>
      <c r="B36" s="501"/>
      <c r="C36" s="501"/>
      <c r="D36" s="501"/>
      <c r="E36" s="501"/>
      <c r="F36" s="501"/>
      <c r="G36" s="501"/>
      <c r="H36" s="501"/>
    </row>
    <row r="37" spans="1:8" ht="14.25" x14ac:dyDescent="0.2">
      <c r="A37" s="501"/>
      <c r="B37" s="501"/>
      <c r="C37" s="501"/>
      <c r="D37" s="501"/>
      <c r="E37" s="501"/>
      <c r="F37" s="501"/>
      <c r="G37" s="501"/>
      <c r="H37" s="501"/>
    </row>
    <row r="38" spans="1:8" ht="14.25" x14ac:dyDescent="0.2">
      <c r="A38" s="501"/>
      <c r="B38" s="501"/>
      <c r="C38" s="501"/>
      <c r="D38" s="501"/>
      <c r="E38" s="501"/>
      <c r="F38" s="501"/>
      <c r="G38" s="501"/>
      <c r="H38" s="501"/>
    </row>
    <row r="39" spans="1:8" ht="14.25" x14ac:dyDescent="0.2">
      <c r="A39" s="501"/>
      <c r="B39" s="501"/>
      <c r="C39" s="501"/>
      <c r="D39" s="501"/>
      <c r="E39" s="501"/>
      <c r="F39" s="501"/>
      <c r="G39" s="501"/>
      <c r="H39" s="501"/>
    </row>
    <row r="40" spans="1:8" ht="14.25" x14ac:dyDescent="0.2">
      <c r="A40" s="501"/>
      <c r="B40" s="501"/>
      <c r="C40" s="501"/>
      <c r="D40" s="501"/>
      <c r="E40" s="501"/>
      <c r="F40" s="501"/>
      <c r="G40" s="501"/>
      <c r="H40" s="501"/>
    </row>
    <row r="41" spans="1:8" ht="14.25" x14ac:dyDescent="0.2">
      <c r="A41" s="501"/>
      <c r="B41" s="501"/>
      <c r="C41" s="501"/>
      <c r="D41" s="501"/>
      <c r="E41" s="501"/>
      <c r="F41" s="501"/>
      <c r="G41" s="501"/>
      <c r="H41" s="501"/>
    </row>
    <row r="42" spans="1:8" ht="14.25" x14ac:dyDescent="0.2">
      <c r="A42" s="501"/>
      <c r="B42" s="501"/>
      <c r="C42" s="501"/>
      <c r="D42" s="501"/>
      <c r="E42" s="501"/>
      <c r="F42" s="501"/>
      <c r="G42" s="501"/>
      <c r="H42" s="501"/>
    </row>
    <row r="43" spans="1:8" ht="14.25" x14ac:dyDescent="0.2">
      <c r="A43" s="501"/>
      <c r="B43" s="501"/>
      <c r="C43" s="501"/>
      <c r="D43" s="501"/>
      <c r="E43" s="501"/>
      <c r="F43" s="501"/>
      <c r="G43" s="501"/>
      <c r="H43" s="501"/>
    </row>
    <row r="44" spans="1:8" ht="14.25" x14ac:dyDescent="0.2">
      <c r="A44" s="501"/>
      <c r="B44" s="501"/>
      <c r="C44" s="501"/>
      <c r="D44" s="501"/>
      <c r="E44" s="501"/>
      <c r="F44" s="501"/>
      <c r="G44" s="501"/>
      <c r="H44" s="501"/>
    </row>
    <row r="45" spans="1:8" ht="14.25" x14ac:dyDescent="0.2">
      <c r="A45" s="501"/>
      <c r="B45" s="501"/>
      <c r="C45" s="501"/>
      <c r="D45" s="501"/>
      <c r="E45" s="501"/>
      <c r="F45" s="501"/>
      <c r="G45" s="501"/>
      <c r="H45" s="501"/>
    </row>
    <row r="46" spans="1:8" ht="14.25" x14ac:dyDescent="0.2">
      <c r="A46" s="501"/>
      <c r="B46" s="501"/>
      <c r="C46" s="501"/>
      <c r="D46" s="501"/>
      <c r="E46" s="501"/>
      <c r="F46" s="501"/>
      <c r="G46" s="501"/>
      <c r="H46" s="501"/>
    </row>
    <row r="47" spans="1:8" ht="14.25" x14ac:dyDescent="0.2">
      <c r="A47" s="501"/>
      <c r="B47" s="501"/>
      <c r="C47" s="501"/>
      <c r="D47" s="501"/>
      <c r="E47" s="501"/>
      <c r="F47" s="501"/>
      <c r="G47" s="501"/>
      <c r="H47" s="501"/>
    </row>
    <row r="48" spans="1:8" ht="14.25" x14ac:dyDescent="0.2">
      <c r="A48" s="501"/>
      <c r="B48" s="501"/>
      <c r="C48" s="501"/>
      <c r="D48" s="501"/>
      <c r="E48" s="501"/>
      <c r="F48" s="501"/>
      <c r="G48" s="501"/>
      <c r="H48" s="501"/>
    </row>
    <row r="49" spans="1:8" ht="14.25" x14ac:dyDescent="0.2">
      <c r="A49" s="501"/>
      <c r="B49" s="501"/>
      <c r="C49" s="501"/>
      <c r="D49" s="501"/>
      <c r="E49" s="501"/>
      <c r="F49" s="501"/>
      <c r="G49" s="501"/>
      <c r="H49" s="501"/>
    </row>
    <row r="50" spans="1:8" ht="14.25" x14ac:dyDescent="0.2">
      <c r="A50" s="501"/>
      <c r="B50" s="501"/>
      <c r="C50" s="501"/>
      <c r="D50" s="501"/>
      <c r="E50" s="501"/>
      <c r="F50" s="501"/>
      <c r="G50" s="501"/>
      <c r="H50" s="501"/>
    </row>
    <row r="51" spans="1:8" ht="14.25" x14ac:dyDescent="0.2">
      <c r="A51" s="501"/>
      <c r="B51" s="501"/>
      <c r="C51" s="501"/>
      <c r="D51" s="501"/>
      <c r="E51" s="501"/>
      <c r="F51" s="501"/>
      <c r="G51" s="501"/>
      <c r="H51" s="501"/>
    </row>
    <row r="52" spans="1:8" ht="14.25" x14ac:dyDescent="0.2">
      <c r="A52" s="501"/>
      <c r="B52" s="501"/>
      <c r="C52" s="501"/>
      <c r="D52" s="501"/>
      <c r="E52" s="501"/>
      <c r="F52" s="501"/>
      <c r="G52" s="501"/>
      <c r="H52" s="501"/>
    </row>
    <row r="53" spans="1:8" ht="14.25" x14ac:dyDescent="0.2">
      <c r="A53" s="501"/>
      <c r="B53" s="501"/>
      <c r="C53" s="501"/>
      <c r="D53" s="501"/>
      <c r="E53" s="501"/>
      <c r="F53" s="501"/>
      <c r="G53" s="501"/>
      <c r="H53" s="50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39F4-466D-42FF-A2A4-A227F5D2E742}">
  <dimension ref="A1:R23"/>
  <sheetViews>
    <sheetView workbookViewId="0">
      <pane xSplit="2" topLeftCell="C1" activePane="topRight" state="frozen"/>
      <selection pane="topRight" activeCell="A6" sqref="A6"/>
    </sheetView>
  </sheetViews>
  <sheetFormatPr defaultRowHeight="12.75" x14ac:dyDescent="0.2"/>
  <cols>
    <col min="2" max="2" width="28.5703125" customWidth="1"/>
    <col min="3" max="3" width="19.28515625" customWidth="1"/>
    <col min="10" max="10" width="5" customWidth="1"/>
    <col min="14" max="14" width="4.28515625" customWidth="1"/>
    <col min="15" max="15" width="7.28515625" style="231" customWidth="1"/>
    <col min="16" max="16" width="7.5703125" style="231" customWidth="1"/>
  </cols>
  <sheetData>
    <row r="1" spans="1:18" ht="15.75" x14ac:dyDescent="0.25">
      <c r="A1" s="52" t="str">
        <f>CompDetail!A1</f>
        <v>NSW State Championships</v>
      </c>
      <c r="B1" s="3"/>
      <c r="C1" s="243" t="s">
        <v>144</v>
      </c>
      <c r="K1" s="523"/>
      <c r="L1" s="523"/>
      <c r="M1" s="523"/>
    </row>
    <row r="2" spans="1:18" ht="15.75" x14ac:dyDescent="0.25">
      <c r="A2" s="53"/>
      <c r="B2" s="3"/>
      <c r="C2" s="243" t="s">
        <v>256</v>
      </c>
      <c r="K2" s="523"/>
      <c r="L2" s="523"/>
      <c r="M2" s="523"/>
    </row>
    <row r="3" spans="1:18" ht="15.75" x14ac:dyDescent="0.25">
      <c r="A3" s="520" t="str">
        <f>CompDetail!A3</f>
        <v>June 9 to 11 2018</v>
      </c>
      <c r="B3" s="521"/>
      <c r="C3" s="243" t="s">
        <v>259</v>
      </c>
      <c r="K3" s="494"/>
      <c r="L3" s="494"/>
      <c r="M3" s="494"/>
    </row>
    <row r="4" spans="1:18" ht="15.75" x14ac:dyDescent="0.25">
      <c r="A4" s="246"/>
      <c r="B4" s="247"/>
      <c r="C4" s="494"/>
      <c r="K4" s="494"/>
      <c r="L4" s="494"/>
      <c r="M4" s="494"/>
    </row>
    <row r="5" spans="1:18" ht="15.75" x14ac:dyDescent="0.25">
      <c r="A5" s="52" t="s">
        <v>228</v>
      </c>
      <c r="B5" s="2"/>
      <c r="C5" s="4"/>
      <c r="D5" s="2" t="s">
        <v>58</v>
      </c>
      <c r="E5" s="4" t="str">
        <f>C2</f>
        <v>R Bruderer</v>
      </c>
      <c r="F5" s="4"/>
      <c r="G5" s="2"/>
      <c r="H5" s="4"/>
      <c r="I5" s="323"/>
      <c r="J5" s="322"/>
      <c r="K5" s="325" t="s">
        <v>57</v>
      </c>
      <c r="L5" s="326" t="str">
        <f>C3</f>
        <v>C Wicks</v>
      </c>
      <c r="M5" s="324"/>
      <c r="N5" s="322"/>
      <c r="O5" s="322"/>
      <c r="P5" s="322"/>
      <c r="Q5" s="322"/>
      <c r="R5" s="322"/>
    </row>
    <row r="6" spans="1:18" ht="15.75" x14ac:dyDescent="0.25">
      <c r="A6" s="52" t="s">
        <v>64</v>
      </c>
      <c r="B6" s="2" t="s">
        <v>252</v>
      </c>
      <c r="C6" s="4"/>
      <c r="D6" s="4"/>
      <c r="E6" s="4"/>
      <c r="F6" s="4"/>
      <c r="G6" s="4"/>
      <c r="H6" s="4"/>
      <c r="I6" s="323"/>
      <c r="J6" s="322"/>
      <c r="K6" s="322"/>
      <c r="L6" s="322"/>
      <c r="M6" s="324"/>
      <c r="N6" s="322"/>
      <c r="O6" s="322"/>
      <c r="P6" s="322"/>
      <c r="Q6" s="322"/>
      <c r="R6" s="322"/>
    </row>
    <row r="7" spans="1:18" ht="15" x14ac:dyDescent="0.25">
      <c r="A7" s="4"/>
      <c r="B7" s="4"/>
      <c r="C7" s="4"/>
      <c r="D7" s="2"/>
      <c r="E7" s="4"/>
      <c r="F7" s="4"/>
      <c r="G7" s="4"/>
      <c r="H7" s="4"/>
      <c r="I7" s="328"/>
      <c r="J7" s="322"/>
      <c r="K7" s="322"/>
      <c r="L7" s="322"/>
      <c r="M7" s="328"/>
      <c r="N7" s="322"/>
      <c r="O7" s="322"/>
      <c r="P7" s="322"/>
      <c r="Q7" s="327"/>
      <c r="R7" s="323"/>
    </row>
    <row r="8" spans="1:18" ht="15" x14ac:dyDescent="0.25">
      <c r="A8" s="55" t="s">
        <v>33</v>
      </c>
      <c r="B8" s="55" t="s">
        <v>34</v>
      </c>
      <c r="C8" s="55" t="s">
        <v>37</v>
      </c>
      <c r="D8" s="87" t="s">
        <v>23</v>
      </c>
      <c r="E8" s="55"/>
      <c r="F8" s="55"/>
      <c r="G8" s="55"/>
      <c r="H8" s="55"/>
      <c r="I8" s="330" t="s">
        <v>23</v>
      </c>
      <c r="J8" s="331"/>
      <c r="K8" s="329"/>
      <c r="L8" s="329"/>
      <c r="M8" s="330" t="s">
        <v>68</v>
      </c>
      <c r="N8" s="331"/>
      <c r="O8" s="329"/>
      <c r="P8" s="329"/>
      <c r="Q8" s="440" t="s">
        <v>24</v>
      </c>
      <c r="R8" s="328"/>
    </row>
    <row r="9" spans="1:18" ht="15" x14ac:dyDescent="0.25">
      <c r="A9" s="55"/>
      <c r="B9" s="55"/>
      <c r="C9" s="55"/>
      <c r="D9" s="55" t="s">
        <v>12</v>
      </c>
      <c r="E9" s="55" t="s">
        <v>13</v>
      </c>
      <c r="F9" s="55" t="s">
        <v>14</v>
      </c>
      <c r="G9" s="55" t="s">
        <v>15</v>
      </c>
      <c r="H9" s="55" t="s">
        <v>16</v>
      </c>
      <c r="I9" s="330" t="s">
        <v>24</v>
      </c>
      <c r="J9" s="332"/>
      <c r="K9" s="322" t="s">
        <v>45</v>
      </c>
      <c r="L9" s="322" t="s">
        <v>80</v>
      </c>
      <c r="M9" s="330" t="s">
        <v>24</v>
      </c>
      <c r="N9" s="332"/>
      <c r="O9" s="439" t="s">
        <v>101</v>
      </c>
      <c r="P9" s="439" t="s">
        <v>102</v>
      </c>
      <c r="Q9" s="440" t="s">
        <v>41</v>
      </c>
      <c r="R9" s="333" t="s">
        <v>44</v>
      </c>
    </row>
    <row r="10" spans="1:18" ht="15" x14ac:dyDescent="0.25">
      <c r="A10" s="362">
        <v>100</v>
      </c>
      <c r="B10" s="319" t="s">
        <v>163</v>
      </c>
      <c r="C10" s="371"/>
      <c r="D10" s="337"/>
      <c r="E10" s="337"/>
      <c r="F10" s="337"/>
      <c r="G10" s="337"/>
      <c r="H10" s="337"/>
      <c r="I10" s="51"/>
      <c r="J10" s="50"/>
      <c r="K10" s="335"/>
      <c r="L10" s="335"/>
      <c r="M10" s="51"/>
      <c r="N10" s="336"/>
      <c r="O10" s="50"/>
      <c r="P10" s="50"/>
      <c r="Q10" s="441"/>
      <c r="R10" s="336"/>
    </row>
    <row r="11" spans="1:18" ht="15" x14ac:dyDescent="0.25">
      <c r="A11" s="361">
        <v>98</v>
      </c>
      <c r="B11" s="320" t="s">
        <v>165</v>
      </c>
      <c r="C11" s="361" t="s">
        <v>141</v>
      </c>
      <c r="D11" s="366">
        <v>6.5</v>
      </c>
      <c r="E11" s="366">
        <v>6.5</v>
      </c>
      <c r="F11" s="366">
        <v>6.3</v>
      </c>
      <c r="G11" s="366">
        <v>6</v>
      </c>
      <c r="H11" s="366">
        <v>6</v>
      </c>
      <c r="I11" s="364">
        <f>SUM((D11*0.25)+(E11*0.25)+(F11*0.2)+(G11*0.2)+(H11*0.1))</f>
        <v>6.3100000000000005</v>
      </c>
      <c r="J11" s="367"/>
      <c r="K11" s="350">
        <v>8.5</v>
      </c>
      <c r="L11" s="350">
        <v>0</v>
      </c>
      <c r="M11" s="364">
        <f>K11-L11</f>
        <v>8.5</v>
      </c>
      <c r="N11" s="365"/>
      <c r="O11" s="364">
        <f>I11</f>
        <v>6.3100000000000005</v>
      </c>
      <c r="P11" s="364">
        <f>M11</f>
        <v>8.5</v>
      </c>
      <c r="Q11" s="442">
        <f>(M11+I11)/2</f>
        <v>7.4050000000000002</v>
      </c>
      <c r="R11" s="368">
        <v>1</v>
      </c>
    </row>
    <row r="12" spans="1:18" ht="15" x14ac:dyDescent="0.25">
      <c r="A12" s="362">
        <v>122</v>
      </c>
      <c r="B12" s="319" t="s">
        <v>186</v>
      </c>
      <c r="C12" s="371"/>
      <c r="D12" s="337"/>
      <c r="E12" s="337"/>
      <c r="F12" s="337"/>
      <c r="G12" s="337"/>
      <c r="H12" s="337"/>
      <c r="I12" s="51"/>
      <c r="J12" s="50"/>
      <c r="K12" s="335"/>
      <c r="L12" s="335"/>
      <c r="M12" s="51"/>
      <c r="N12" s="336"/>
      <c r="O12" s="50"/>
      <c r="P12" s="50"/>
      <c r="Q12" s="441"/>
      <c r="R12" s="336"/>
    </row>
    <row r="13" spans="1:18" ht="15" x14ac:dyDescent="0.25">
      <c r="A13" s="361">
        <v>121</v>
      </c>
      <c r="B13" s="320" t="s">
        <v>121</v>
      </c>
      <c r="C13" s="361" t="s">
        <v>120</v>
      </c>
      <c r="D13" s="366">
        <v>5.7</v>
      </c>
      <c r="E13" s="366">
        <v>6.3</v>
      </c>
      <c r="F13" s="366">
        <v>6</v>
      </c>
      <c r="G13" s="366">
        <v>6</v>
      </c>
      <c r="H13" s="366">
        <v>5.8</v>
      </c>
      <c r="I13" s="364">
        <f>SUM((D13*0.25)+(E13*0.25)+(F13*0.2)+(G13*0.2)+(H13*0.1))</f>
        <v>5.98</v>
      </c>
      <c r="J13" s="367"/>
      <c r="K13" s="350">
        <v>7.8</v>
      </c>
      <c r="L13" s="350">
        <v>0</v>
      </c>
      <c r="M13" s="364">
        <f>K13-L13</f>
        <v>7.8</v>
      </c>
      <c r="N13" s="365"/>
      <c r="O13" s="364">
        <f>I13</f>
        <v>5.98</v>
      </c>
      <c r="P13" s="364">
        <f>M13</f>
        <v>7.8</v>
      </c>
      <c r="Q13" s="442">
        <f>(M13+I13)/2</f>
        <v>6.8900000000000006</v>
      </c>
      <c r="R13" s="368">
        <v>2</v>
      </c>
    </row>
    <row r="14" spans="1:18" ht="15" x14ac:dyDescent="0.25">
      <c r="A14" s="362">
        <v>123</v>
      </c>
      <c r="B14" s="319" t="s">
        <v>205</v>
      </c>
      <c r="C14" s="371"/>
      <c r="D14" s="337"/>
      <c r="E14" s="337"/>
      <c r="F14" s="337"/>
      <c r="G14" s="337"/>
      <c r="H14" s="337"/>
      <c r="I14" s="51"/>
      <c r="J14" s="50"/>
      <c r="K14" s="335"/>
      <c r="L14" s="335"/>
      <c r="M14" s="51"/>
      <c r="N14" s="336"/>
      <c r="O14" s="50"/>
      <c r="P14" s="50"/>
      <c r="Q14" s="441"/>
      <c r="R14" s="336"/>
    </row>
    <row r="15" spans="1:18" ht="15" x14ac:dyDescent="0.25">
      <c r="A15" s="361">
        <v>126</v>
      </c>
      <c r="B15" s="320" t="s">
        <v>122</v>
      </c>
      <c r="C15" s="361" t="s">
        <v>120</v>
      </c>
      <c r="D15" s="366">
        <v>5.4</v>
      </c>
      <c r="E15" s="366">
        <v>5.2</v>
      </c>
      <c r="F15" s="366">
        <v>5</v>
      </c>
      <c r="G15" s="366">
        <v>5</v>
      </c>
      <c r="H15" s="366">
        <v>4.8</v>
      </c>
      <c r="I15" s="364">
        <f>SUM((D15*0.25)+(E15*0.25)+(F15*0.2)+(G15*0.2)+(H15*0.1))</f>
        <v>5.1300000000000008</v>
      </c>
      <c r="J15" s="367"/>
      <c r="K15" s="350">
        <v>7.5</v>
      </c>
      <c r="L15" s="350">
        <v>0</v>
      </c>
      <c r="M15" s="364">
        <f>K15-L15</f>
        <v>7.5</v>
      </c>
      <c r="N15" s="365"/>
      <c r="O15" s="364">
        <f>I15</f>
        <v>5.1300000000000008</v>
      </c>
      <c r="P15" s="364">
        <f>M15</f>
        <v>7.5</v>
      </c>
      <c r="Q15" s="442">
        <f>(M15+I15)/2</f>
        <v>6.3150000000000004</v>
      </c>
      <c r="R15" s="368">
        <v>3</v>
      </c>
    </row>
    <row r="16" spans="1:18" ht="15" x14ac:dyDescent="0.25">
      <c r="A16" s="362">
        <v>89</v>
      </c>
      <c r="B16" s="319" t="s">
        <v>125</v>
      </c>
      <c r="C16" s="371" t="s">
        <v>132</v>
      </c>
      <c r="D16" s="337"/>
      <c r="E16" s="337"/>
      <c r="F16" s="337"/>
      <c r="G16" s="337"/>
      <c r="H16" s="337"/>
      <c r="I16" s="51"/>
      <c r="J16" s="50"/>
      <c r="K16" s="335"/>
      <c r="L16" s="335"/>
      <c r="M16" s="51"/>
      <c r="N16" s="336"/>
      <c r="O16" s="50"/>
      <c r="P16" s="50"/>
      <c r="Q16" s="441"/>
      <c r="R16" s="336"/>
    </row>
    <row r="17" spans="1:18" ht="15" x14ac:dyDescent="0.25">
      <c r="A17" s="361">
        <v>150</v>
      </c>
      <c r="B17" s="320" t="s">
        <v>161</v>
      </c>
      <c r="C17" s="361" t="s">
        <v>109</v>
      </c>
      <c r="D17" s="366">
        <v>4.8</v>
      </c>
      <c r="E17" s="366">
        <v>5</v>
      </c>
      <c r="F17" s="366">
        <v>5</v>
      </c>
      <c r="G17" s="366">
        <v>3</v>
      </c>
      <c r="H17" s="366">
        <v>3</v>
      </c>
      <c r="I17" s="364">
        <f>SUM((D17*0.25)+(E17*0.25)+(F17*0.2)+(G17*0.2)+(H17*0.1))</f>
        <v>4.3500000000000005</v>
      </c>
      <c r="J17" s="367"/>
      <c r="K17" s="350">
        <v>8.1999999999999993</v>
      </c>
      <c r="L17" s="350">
        <v>0</v>
      </c>
      <c r="M17" s="364">
        <f>K17-L17</f>
        <v>8.1999999999999993</v>
      </c>
      <c r="N17" s="365"/>
      <c r="O17" s="364">
        <f>I17</f>
        <v>4.3500000000000005</v>
      </c>
      <c r="P17" s="364">
        <f>M17</f>
        <v>8.1999999999999993</v>
      </c>
      <c r="Q17" s="442">
        <f>(M17+I17)/2</f>
        <v>6.2750000000000004</v>
      </c>
      <c r="R17" s="368">
        <v>4</v>
      </c>
    </row>
    <row r="18" spans="1:18" ht="15" x14ac:dyDescent="0.25">
      <c r="A18" s="319">
        <v>117</v>
      </c>
      <c r="B18" s="319" t="s">
        <v>207</v>
      </c>
      <c r="C18" s="371"/>
      <c r="D18" s="337"/>
      <c r="E18" s="337"/>
      <c r="F18" s="337"/>
      <c r="G18" s="337"/>
      <c r="H18" s="337"/>
      <c r="I18" s="51"/>
      <c r="J18" s="50"/>
      <c r="K18" s="335"/>
      <c r="L18" s="335"/>
      <c r="M18" s="51"/>
      <c r="N18" s="336"/>
      <c r="O18" s="50"/>
      <c r="P18" s="50"/>
      <c r="Q18" s="441"/>
      <c r="R18" s="336"/>
    </row>
    <row r="19" spans="1:18" ht="15" x14ac:dyDescent="0.25">
      <c r="A19" s="320">
        <v>128</v>
      </c>
      <c r="B19" s="320" t="s">
        <v>212</v>
      </c>
      <c r="C19" s="361" t="s">
        <v>120</v>
      </c>
      <c r="D19" s="366">
        <v>4.7</v>
      </c>
      <c r="E19" s="366">
        <v>5.3</v>
      </c>
      <c r="F19" s="366">
        <v>4.8</v>
      </c>
      <c r="G19" s="366">
        <v>3</v>
      </c>
      <c r="H19" s="366">
        <v>4.7</v>
      </c>
      <c r="I19" s="364">
        <f>SUM((D19*0.25)+(E19*0.25)+(F19*0.2)+(G19*0.2)+(H19*0.1))</f>
        <v>4.53</v>
      </c>
      <c r="J19" s="367"/>
      <c r="K19" s="350">
        <v>7.6</v>
      </c>
      <c r="L19" s="350">
        <v>0</v>
      </c>
      <c r="M19" s="364">
        <f>K19-L19</f>
        <v>7.6</v>
      </c>
      <c r="N19" s="365"/>
      <c r="O19" s="364">
        <f>I19</f>
        <v>4.53</v>
      </c>
      <c r="P19" s="364">
        <f>M19</f>
        <v>7.6</v>
      </c>
      <c r="Q19" s="442">
        <f>(M19+I19)/2</f>
        <v>6.0649999999999995</v>
      </c>
      <c r="R19" s="368">
        <v>5</v>
      </c>
    </row>
    <row r="20" spans="1:18" ht="15" x14ac:dyDescent="0.25">
      <c r="A20" s="362">
        <v>159</v>
      </c>
      <c r="B20" s="319" t="s">
        <v>174</v>
      </c>
      <c r="C20" s="371"/>
      <c r="D20" s="337"/>
      <c r="E20" s="337"/>
      <c r="F20" s="337"/>
      <c r="G20" s="337"/>
      <c r="H20" s="337"/>
      <c r="I20" s="51"/>
      <c r="J20" s="50"/>
      <c r="K20" s="335"/>
      <c r="L20" s="335"/>
      <c r="M20" s="51"/>
      <c r="N20" s="336"/>
      <c r="O20" s="50"/>
      <c r="P20" s="50"/>
      <c r="Q20" s="441"/>
      <c r="R20" s="336"/>
    </row>
    <row r="21" spans="1:18" ht="15" x14ac:dyDescent="0.25">
      <c r="A21" s="361">
        <v>158</v>
      </c>
      <c r="B21" s="320" t="s">
        <v>170</v>
      </c>
      <c r="C21" s="361" t="s">
        <v>177</v>
      </c>
      <c r="D21" s="366">
        <v>5</v>
      </c>
      <c r="E21" s="366">
        <v>5</v>
      </c>
      <c r="F21" s="366">
        <v>4.5999999999999996</v>
      </c>
      <c r="G21" s="366">
        <v>4</v>
      </c>
      <c r="H21" s="366">
        <v>4</v>
      </c>
      <c r="I21" s="364">
        <f>SUM((D21*0.25)+(E21*0.25)+(F21*0.2)+(G21*0.2)+(H21*0.1))</f>
        <v>4.62</v>
      </c>
      <c r="J21" s="367"/>
      <c r="K21" s="350">
        <v>7.2</v>
      </c>
      <c r="L21" s="350">
        <v>0</v>
      </c>
      <c r="M21" s="364">
        <f>K21-L21</f>
        <v>7.2</v>
      </c>
      <c r="N21" s="365"/>
      <c r="O21" s="364">
        <f>I21</f>
        <v>4.62</v>
      </c>
      <c r="P21" s="364">
        <f>M21</f>
        <v>7.2</v>
      </c>
      <c r="Q21" s="442">
        <f>(M21+I21)/2</f>
        <v>5.91</v>
      </c>
      <c r="R21" s="368">
        <v>6</v>
      </c>
    </row>
    <row r="22" spans="1:18" ht="15" x14ac:dyDescent="0.25">
      <c r="A22" s="362">
        <v>120</v>
      </c>
      <c r="B22" s="319" t="s">
        <v>200</v>
      </c>
      <c r="C22" s="373"/>
      <c r="D22" s="337"/>
      <c r="E22" s="337"/>
      <c r="F22" s="337"/>
      <c r="G22" s="337"/>
      <c r="H22" s="337"/>
      <c r="I22" s="51"/>
      <c r="J22" s="50"/>
      <c r="K22" s="335"/>
      <c r="L22" s="335"/>
      <c r="M22" s="51"/>
      <c r="N22" s="336"/>
      <c r="O22" s="50"/>
      <c r="P22" s="50"/>
      <c r="Q22" s="441"/>
      <c r="R22" s="336"/>
    </row>
    <row r="23" spans="1:18" ht="15" x14ac:dyDescent="0.25">
      <c r="A23" s="372">
        <v>116</v>
      </c>
      <c r="B23" s="320" t="s">
        <v>117</v>
      </c>
      <c r="C23" s="361" t="s">
        <v>120</v>
      </c>
      <c r="D23" s="366">
        <v>4.8</v>
      </c>
      <c r="E23" s="366">
        <v>4.2</v>
      </c>
      <c r="F23" s="366">
        <v>4</v>
      </c>
      <c r="G23" s="366">
        <v>2</v>
      </c>
      <c r="H23" s="366">
        <v>3</v>
      </c>
      <c r="I23" s="364">
        <f>SUM((D23*0.25)+(E23*0.25)+(F23*0.2)+(G23*0.2)+(H23*0.1))</f>
        <v>3.75</v>
      </c>
      <c r="J23" s="367"/>
      <c r="K23" s="350">
        <v>7.4</v>
      </c>
      <c r="L23" s="350">
        <v>0</v>
      </c>
      <c r="M23" s="364">
        <f>K23-L23</f>
        <v>7.4</v>
      </c>
      <c r="N23" s="365"/>
      <c r="O23" s="364">
        <f>I23</f>
        <v>3.75</v>
      </c>
      <c r="P23" s="364">
        <f>M23</f>
        <v>7.4</v>
      </c>
      <c r="Q23" s="442">
        <f>(M23+I23)/2</f>
        <v>5.5750000000000002</v>
      </c>
      <c r="R23" s="368"/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8F6A-67CB-4081-89CC-EDCEBE958D6B}">
  <sheetPr>
    <pageSetUpPr fitToPage="1"/>
  </sheetPr>
  <dimension ref="A1:U63"/>
  <sheetViews>
    <sheetView tabSelected="1" workbookViewId="0">
      <pane xSplit="3" topLeftCell="D1" activePane="topRight" state="frozen"/>
      <selection pane="topRight" activeCell="A7" sqref="A7:B7"/>
    </sheetView>
  </sheetViews>
  <sheetFormatPr defaultColWidth="8.85546875" defaultRowHeight="12.75" x14ac:dyDescent="0.2"/>
  <cols>
    <col min="1" max="1" width="5.42578125" customWidth="1"/>
    <col min="2" max="2" width="21.28515625" customWidth="1"/>
    <col min="3" max="3" width="14.85546875" customWidth="1"/>
    <col min="4" max="4" width="3.5703125" customWidth="1"/>
    <col min="11" max="11" width="3.85546875" customWidth="1"/>
    <col min="15" max="15" width="2.85546875" customWidth="1"/>
    <col min="16" max="16" width="9.140625" customWidth="1"/>
    <col min="17" max="17" width="10" customWidth="1"/>
    <col min="18" max="18" width="6.5703125" customWidth="1"/>
    <col min="19" max="19" width="10.7109375" customWidth="1"/>
  </cols>
  <sheetData>
    <row r="1" spans="1:21" s="244" customFormat="1" ht="15.75" x14ac:dyDescent="0.25">
      <c r="A1" s="52" t="str">
        <f>CompDetail!A1</f>
        <v>NSW State Championships</v>
      </c>
      <c r="B1" s="3"/>
      <c r="C1" s="243" t="s">
        <v>144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</row>
    <row r="2" spans="1:21" s="244" customFormat="1" ht="15.75" x14ac:dyDescent="0.25">
      <c r="A2" s="53"/>
      <c r="B2" s="3"/>
      <c r="C2" s="243" t="s">
        <v>291</v>
      </c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1:21" s="244" customFormat="1" ht="15.75" x14ac:dyDescent="0.25">
      <c r="A3" s="520" t="str">
        <f>CompDetail!A3</f>
        <v>June 9 to 11 2018</v>
      </c>
      <c r="B3" s="521"/>
      <c r="C3" s="243" t="s">
        <v>292</v>
      </c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</row>
    <row r="4" spans="1:21" s="244" customFormat="1" ht="15.75" x14ac:dyDescent="0.25">
      <c r="A4" s="246"/>
      <c r="B4" s="247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</row>
    <row r="5" spans="1:21" s="244" customFormat="1" ht="15" x14ac:dyDescent="0.25">
      <c r="C5" s="494"/>
      <c r="D5" s="230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494"/>
      <c r="S5" s="494"/>
    </row>
    <row r="6" spans="1:21" s="244" customFormat="1" ht="15.75" x14ac:dyDescent="0.25">
      <c r="A6" s="493"/>
      <c r="B6" s="252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</row>
    <row r="7" spans="1:21" s="244" customFormat="1" ht="15.75" x14ac:dyDescent="0.25">
      <c r="A7" s="522" t="s">
        <v>222</v>
      </c>
      <c r="B7" s="522"/>
      <c r="C7" s="494"/>
      <c r="D7" s="494"/>
      <c r="E7" s="245" t="s">
        <v>293</v>
      </c>
      <c r="F7" s="494" t="str">
        <f>C2</f>
        <v>A J SCOTT</v>
      </c>
      <c r="G7" s="494"/>
      <c r="H7" s="494"/>
      <c r="I7" s="494"/>
      <c r="J7" s="494"/>
      <c r="K7" s="245"/>
      <c r="L7" s="245" t="s">
        <v>293</v>
      </c>
      <c r="M7" s="523" t="str">
        <f>C3</f>
        <v>B C WICKS</v>
      </c>
      <c r="N7" s="523"/>
      <c r="O7" s="494"/>
      <c r="P7" s="494"/>
      <c r="Q7" s="494"/>
      <c r="R7" s="494"/>
      <c r="S7" s="494"/>
    </row>
    <row r="8" spans="1:21" s="244" customFormat="1" ht="15.75" x14ac:dyDescent="0.25">
      <c r="A8" s="493" t="s">
        <v>64</v>
      </c>
      <c r="B8" s="493" t="s">
        <v>248</v>
      </c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</row>
    <row r="9" spans="1:21" s="244" customFormat="1" ht="15" x14ac:dyDescent="0.25">
      <c r="A9" s="494"/>
      <c r="B9" s="494"/>
      <c r="C9" s="494"/>
      <c r="D9" s="494"/>
      <c r="E9" s="245"/>
      <c r="F9" s="494"/>
      <c r="G9" s="494"/>
      <c r="H9" s="494"/>
      <c r="I9" s="494"/>
      <c r="J9" s="494"/>
      <c r="K9" s="257"/>
      <c r="L9" s="245"/>
      <c r="M9" s="494"/>
      <c r="N9" s="258"/>
      <c r="O9" s="264"/>
      <c r="P9" s="264"/>
      <c r="Q9" s="264"/>
      <c r="R9" s="264"/>
      <c r="S9" s="256"/>
    </row>
    <row r="10" spans="1:21" s="244" customFormat="1" ht="15" x14ac:dyDescent="0.25">
      <c r="A10" s="253" t="s">
        <v>33</v>
      </c>
      <c r="B10" s="253" t="s">
        <v>34</v>
      </c>
      <c r="C10" s="253" t="s">
        <v>66</v>
      </c>
      <c r="D10" s="254"/>
      <c r="E10" s="339" t="s">
        <v>23</v>
      </c>
      <c r="F10" s="341"/>
      <c r="G10" s="341"/>
      <c r="H10" s="341"/>
      <c r="I10" s="341"/>
      <c r="J10" s="339" t="s">
        <v>23</v>
      </c>
      <c r="K10" s="344"/>
      <c r="L10" s="329"/>
      <c r="M10" s="329"/>
      <c r="N10" s="339" t="s">
        <v>68</v>
      </c>
      <c r="O10" s="340"/>
      <c r="P10" s="498"/>
      <c r="Q10" s="498"/>
      <c r="R10" s="339" t="s">
        <v>24</v>
      </c>
      <c r="S10" s="343"/>
    </row>
    <row r="11" spans="1:21" s="244" customFormat="1" ht="15" x14ac:dyDescent="0.25">
      <c r="A11" s="494"/>
      <c r="B11" s="494"/>
      <c r="C11" s="494"/>
      <c r="D11" s="257"/>
      <c r="E11" s="341" t="s">
        <v>12</v>
      </c>
      <c r="F11" s="341" t="s">
        <v>13</v>
      </c>
      <c r="G11" s="341" t="s">
        <v>14</v>
      </c>
      <c r="H11" s="341" t="s">
        <v>15</v>
      </c>
      <c r="I11" s="341" t="s">
        <v>16</v>
      </c>
      <c r="J11" s="339" t="s">
        <v>24</v>
      </c>
      <c r="K11" s="496"/>
      <c r="L11" s="322" t="s">
        <v>45</v>
      </c>
      <c r="M11" s="322" t="s">
        <v>80</v>
      </c>
      <c r="N11" s="339" t="s">
        <v>24</v>
      </c>
      <c r="O11" s="344"/>
      <c r="P11" s="342" t="s">
        <v>101</v>
      </c>
      <c r="Q11" s="342" t="s">
        <v>102</v>
      </c>
      <c r="R11" s="339" t="s">
        <v>41</v>
      </c>
      <c r="S11" s="341" t="s">
        <v>44</v>
      </c>
    </row>
    <row r="12" spans="1:21" s="244" customFormat="1" ht="15" x14ac:dyDescent="0.25">
      <c r="A12" s="294"/>
      <c r="B12" s="359" t="s">
        <v>145</v>
      </c>
      <c r="C12" s="290"/>
      <c r="D12" s="257"/>
      <c r="E12" s="143"/>
      <c r="F12" s="143"/>
      <c r="G12" s="143"/>
      <c r="H12" s="143"/>
      <c r="I12" s="143"/>
      <c r="J12" s="345"/>
      <c r="K12" s="340"/>
      <c r="L12" s="336"/>
      <c r="M12" s="336"/>
      <c r="N12" s="345"/>
      <c r="O12" s="340"/>
      <c r="P12" s="345"/>
      <c r="Q12" s="345"/>
      <c r="R12" s="346"/>
      <c r="S12" s="343"/>
    </row>
    <row r="13" spans="1:21" s="244" customFormat="1" ht="15" x14ac:dyDescent="0.25">
      <c r="A13" s="294"/>
      <c r="B13" s="360" t="s">
        <v>146</v>
      </c>
      <c r="C13" s="290"/>
      <c r="D13" s="257"/>
      <c r="E13" s="143"/>
      <c r="F13" s="143"/>
      <c r="G13" s="143"/>
      <c r="H13" s="143"/>
      <c r="I13" s="143"/>
      <c r="J13" s="347"/>
      <c r="K13" s="497"/>
      <c r="L13" s="332"/>
      <c r="M13" s="332"/>
      <c r="N13" s="347"/>
      <c r="O13" s="340"/>
      <c r="P13" s="345"/>
      <c r="Q13" s="345"/>
      <c r="R13" s="348"/>
      <c r="S13" s="343"/>
    </row>
    <row r="14" spans="1:21" s="244" customFormat="1" ht="15" x14ac:dyDescent="0.25">
      <c r="A14" s="294"/>
      <c r="B14" s="360" t="s">
        <v>148</v>
      </c>
      <c r="C14" s="290"/>
      <c r="D14" s="257"/>
      <c r="E14" s="143"/>
      <c r="F14" s="143"/>
      <c r="G14" s="143"/>
      <c r="H14" s="143"/>
      <c r="I14" s="143"/>
      <c r="J14" s="345"/>
      <c r="K14" s="340"/>
      <c r="L14" s="336"/>
      <c r="M14" s="336"/>
      <c r="N14" s="345"/>
      <c r="O14" s="340"/>
      <c r="P14" s="345"/>
      <c r="Q14" s="345"/>
      <c r="R14" s="346"/>
      <c r="S14" s="343"/>
    </row>
    <row r="15" spans="1:21" ht="15" x14ac:dyDescent="0.25">
      <c r="A15" s="294"/>
      <c r="B15" s="360" t="s">
        <v>149</v>
      </c>
      <c r="C15" s="290"/>
      <c r="D15" s="257"/>
      <c r="E15" s="143"/>
      <c r="F15" s="143"/>
      <c r="G15" s="143"/>
      <c r="H15" s="143"/>
      <c r="I15" s="143"/>
      <c r="J15" s="345"/>
      <c r="K15" s="340"/>
      <c r="L15" s="336"/>
      <c r="M15" s="336"/>
      <c r="N15" s="345"/>
      <c r="O15" s="340"/>
      <c r="P15" s="345"/>
      <c r="Q15" s="345"/>
      <c r="R15" s="346"/>
      <c r="S15" s="343"/>
    </row>
    <row r="16" spans="1:21" ht="15" x14ac:dyDescent="0.25">
      <c r="A16" s="294"/>
      <c r="B16" s="360" t="s">
        <v>191</v>
      </c>
      <c r="C16" s="290"/>
      <c r="D16" s="257"/>
      <c r="E16" s="143"/>
      <c r="F16" s="143"/>
      <c r="G16" s="143"/>
      <c r="H16" s="143"/>
      <c r="I16" s="143"/>
      <c r="J16" s="347"/>
      <c r="K16" s="497"/>
      <c r="L16" s="332"/>
      <c r="M16" s="332"/>
      <c r="N16" s="347"/>
      <c r="O16" s="340"/>
      <c r="P16" s="345"/>
      <c r="Q16" s="345"/>
      <c r="R16" s="348"/>
      <c r="S16" s="343"/>
    </row>
    <row r="17" spans="1:19" ht="15" x14ac:dyDescent="0.25">
      <c r="A17" s="294"/>
      <c r="B17" s="360" t="s">
        <v>150</v>
      </c>
      <c r="C17" s="290"/>
      <c r="D17" s="257"/>
      <c r="E17" s="143"/>
      <c r="F17" s="143"/>
      <c r="G17" s="143"/>
      <c r="H17" s="143"/>
      <c r="I17" s="143"/>
      <c r="J17" s="143"/>
      <c r="K17" s="349"/>
      <c r="L17" s="336"/>
      <c r="M17" s="336"/>
      <c r="N17" s="143"/>
      <c r="O17" s="349"/>
      <c r="P17" s="143"/>
      <c r="Q17" s="143"/>
      <c r="R17" s="346"/>
      <c r="S17" s="343"/>
    </row>
    <row r="18" spans="1:19" ht="15" x14ac:dyDescent="0.25">
      <c r="A18" s="295"/>
      <c r="B18" s="361"/>
      <c r="C18" s="358" t="s">
        <v>221</v>
      </c>
      <c r="D18" s="303"/>
      <c r="E18" s="353">
        <v>8</v>
      </c>
      <c r="F18" s="353">
        <v>8</v>
      </c>
      <c r="G18" s="353">
        <v>8</v>
      </c>
      <c r="H18" s="353">
        <v>7</v>
      </c>
      <c r="I18" s="353">
        <v>7</v>
      </c>
      <c r="J18" s="354">
        <f>SUM((E18*0.25)+(F18*0.25)+(G18*0.2)+(H18*0.2)+(I18*0.1))</f>
        <v>7.7</v>
      </c>
      <c r="K18" s="355"/>
      <c r="L18" s="350">
        <v>8.4</v>
      </c>
      <c r="M18" s="351"/>
      <c r="N18" s="499">
        <f>SUM(L18-M18)</f>
        <v>8.4</v>
      </c>
      <c r="O18" s="352"/>
      <c r="P18" s="499">
        <f>J18</f>
        <v>7.7</v>
      </c>
      <c r="Q18" s="499">
        <f>N18</f>
        <v>8.4</v>
      </c>
      <c r="R18" s="356">
        <f>SUM((N18*0.5)+(J18*0.5))</f>
        <v>8.0500000000000007</v>
      </c>
      <c r="S18" s="357">
        <v>1</v>
      </c>
    </row>
    <row r="19" spans="1:19" s="244" customFormat="1" ht="15" x14ac:dyDescent="0.25">
      <c r="A19" s="294"/>
      <c r="B19" s="359" t="s">
        <v>157</v>
      </c>
      <c r="C19" s="290"/>
      <c r="D19" s="257"/>
      <c r="E19" s="143"/>
      <c r="F19" s="143"/>
      <c r="G19" s="143"/>
      <c r="H19" s="143"/>
      <c r="I19" s="143"/>
      <c r="J19" s="345"/>
      <c r="K19" s="340"/>
      <c r="L19" s="336"/>
      <c r="M19" s="336"/>
      <c r="N19" s="345"/>
      <c r="O19" s="340"/>
      <c r="P19" s="345"/>
      <c r="Q19" s="345"/>
      <c r="R19" s="346"/>
      <c r="S19" s="343"/>
    </row>
    <row r="20" spans="1:19" s="244" customFormat="1" ht="15" x14ac:dyDescent="0.25">
      <c r="A20" s="294"/>
      <c r="B20" s="362" t="s">
        <v>113</v>
      </c>
      <c r="C20" s="290"/>
      <c r="D20" s="257"/>
      <c r="E20" s="143"/>
      <c r="F20" s="143"/>
      <c r="G20" s="143"/>
      <c r="H20" s="143"/>
      <c r="I20" s="143"/>
      <c r="J20" s="347"/>
      <c r="K20" s="497"/>
      <c r="L20" s="332"/>
      <c r="M20" s="332"/>
      <c r="N20" s="347"/>
      <c r="O20" s="340"/>
      <c r="P20" s="345"/>
      <c r="Q20" s="345"/>
      <c r="R20" s="348"/>
      <c r="S20" s="343"/>
    </row>
    <row r="21" spans="1:19" s="244" customFormat="1" ht="15" x14ac:dyDescent="0.25">
      <c r="A21" s="294"/>
      <c r="B21" s="360" t="s">
        <v>136</v>
      </c>
      <c r="C21" s="290"/>
      <c r="D21" s="257"/>
      <c r="E21" s="143"/>
      <c r="F21" s="143"/>
      <c r="G21" s="143"/>
      <c r="H21" s="143"/>
      <c r="I21" s="143"/>
      <c r="J21" s="345"/>
      <c r="K21" s="340"/>
      <c r="L21" s="336"/>
      <c r="M21" s="336"/>
      <c r="N21" s="345"/>
      <c r="O21" s="340"/>
      <c r="P21" s="345"/>
      <c r="Q21" s="345"/>
      <c r="R21" s="346"/>
      <c r="S21" s="343"/>
    </row>
    <row r="22" spans="1:19" s="244" customFormat="1" ht="15" x14ac:dyDescent="0.25">
      <c r="A22" s="294"/>
      <c r="B22" s="360" t="s">
        <v>134</v>
      </c>
      <c r="C22" s="290"/>
      <c r="D22" s="257"/>
      <c r="E22" s="143"/>
      <c r="F22" s="143"/>
      <c r="G22" s="143"/>
      <c r="H22" s="143"/>
      <c r="I22" s="143"/>
      <c r="J22" s="345"/>
      <c r="K22" s="340"/>
      <c r="L22" s="336"/>
      <c r="M22" s="336"/>
      <c r="N22" s="345"/>
      <c r="O22" s="340"/>
      <c r="P22" s="345"/>
      <c r="Q22" s="345"/>
      <c r="R22" s="346"/>
      <c r="S22" s="343"/>
    </row>
    <row r="23" spans="1:19" s="244" customFormat="1" ht="15" x14ac:dyDescent="0.25">
      <c r="A23" s="294"/>
      <c r="B23" s="360" t="s">
        <v>135</v>
      </c>
      <c r="C23" s="290"/>
      <c r="D23" s="257"/>
      <c r="E23" s="143"/>
      <c r="F23" s="143"/>
      <c r="G23" s="143"/>
      <c r="H23" s="143"/>
      <c r="I23" s="143"/>
      <c r="J23" s="347"/>
      <c r="K23" s="497"/>
      <c r="L23" s="332"/>
      <c r="M23" s="332"/>
      <c r="N23" s="347"/>
      <c r="O23" s="340"/>
      <c r="P23" s="345"/>
      <c r="Q23" s="345"/>
      <c r="R23" s="348"/>
      <c r="S23" s="343"/>
    </row>
    <row r="24" spans="1:19" s="244" customFormat="1" ht="15" x14ac:dyDescent="0.25">
      <c r="A24" s="294"/>
      <c r="B24" s="360" t="s">
        <v>158</v>
      </c>
      <c r="C24" s="290"/>
      <c r="D24" s="257"/>
      <c r="E24" s="143"/>
      <c r="F24" s="143"/>
      <c r="G24" s="143"/>
      <c r="H24" s="143"/>
      <c r="I24" s="143"/>
      <c r="J24" s="143"/>
      <c r="K24" s="349"/>
      <c r="L24" s="336"/>
      <c r="M24" s="336"/>
      <c r="N24" s="143"/>
      <c r="O24" s="349"/>
      <c r="P24" s="143"/>
      <c r="Q24" s="143"/>
      <c r="R24" s="346"/>
      <c r="S24" s="343"/>
    </row>
    <row r="25" spans="1:19" s="244" customFormat="1" ht="15" x14ac:dyDescent="0.25">
      <c r="A25" s="295"/>
      <c r="B25" s="361"/>
      <c r="C25" s="358" t="s">
        <v>116</v>
      </c>
      <c r="D25" s="303"/>
      <c r="E25" s="353">
        <v>8</v>
      </c>
      <c r="F25" s="353">
        <v>7.5</v>
      </c>
      <c r="G25" s="353">
        <v>6.5</v>
      </c>
      <c r="H25" s="353">
        <v>6</v>
      </c>
      <c r="I25" s="353">
        <v>6</v>
      </c>
      <c r="J25" s="354">
        <f>SUM((E25*0.25)+(F25*0.25)+(G25*0.2)+(H25*0.2)+(I25*0.1))</f>
        <v>6.9749999999999996</v>
      </c>
      <c r="K25" s="355"/>
      <c r="L25" s="350">
        <v>8.3000000000000007</v>
      </c>
      <c r="M25" s="351"/>
      <c r="N25" s="499">
        <f>SUM(L25-M25)</f>
        <v>8.3000000000000007</v>
      </c>
      <c r="O25" s="352"/>
      <c r="P25" s="499">
        <f>J25</f>
        <v>6.9749999999999996</v>
      </c>
      <c r="Q25" s="499">
        <f>N25</f>
        <v>8.3000000000000007</v>
      </c>
      <c r="R25" s="356">
        <f>SUM((N25*0.5)+(J25*0.5))</f>
        <v>7.6375000000000002</v>
      </c>
      <c r="S25" s="357">
        <v>2</v>
      </c>
    </row>
    <row r="26" spans="1:19" ht="15" x14ac:dyDescent="0.25">
      <c r="A26" s="294"/>
      <c r="B26" s="362" t="s">
        <v>202</v>
      </c>
      <c r="C26" s="290"/>
      <c r="D26" s="257"/>
      <c r="E26" s="143"/>
      <c r="F26" s="143"/>
      <c r="G26" s="143"/>
      <c r="H26" s="143"/>
      <c r="I26" s="143"/>
      <c r="J26" s="345"/>
      <c r="K26" s="340"/>
      <c r="L26" s="336"/>
      <c r="M26" s="336"/>
      <c r="N26" s="345"/>
      <c r="O26" s="340"/>
      <c r="P26" s="345"/>
      <c r="Q26" s="345"/>
      <c r="R26" s="346"/>
      <c r="S26" s="343"/>
    </row>
    <row r="27" spans="1:19" ht="15" x14ac:dyDescent="0.25">
      <c r="A27" s="294"/>
      <c r="B27" s="362" t="s">
        <v>223</v>
      </c>
      <c r="C27" s="290"/>
      <c r="D27" s="257"/>
      <c r="E27" s="143"/>
      <c r="F27" s="143"/>
      <c r="G27" s="143"/>
      <c r="H27" s="143"/>
      <c r="I27" s="143"/>
      <c r="J27" s="347"/>
      <c r="K27" s="497"/>
      <c r="L27" s="332"/>
      <c r="M27" s="332"/>
      <c r="N27" s="347"/>
      <c r="O27" s="340"/>
      <c r="P27" s="345"/>
      <c r="Q27" s="345"/>
      <c r="R27" s="348"/>
      <c r="S27" s="343"/>
    </row>
    <row r="28" spans="1:19" ht="15" x14ac:dyDescent="0.25">
      <c r="A28" s="294"/>
      <c r="B28" s="362" t="s">
        <v>138</v>
      </c>
      <c r="C28" s="290"/>
      <c r="D28" s="257"/>
      <c r="E28" s="143"/>
      <c r="F28" s="143"/>
      <c r="G28" s="143"/>
      <c r="H28" s="143"/>
      <c r="I28" s="143"/>
      <c r="J28" s="345"/>
      <c r="K28" s="340"/>
      <c r="L28" s="336"/>
      <c r="M28" s="336"/>
      <c r="N28" s="345"/>
      <c r="O28" s="340"/>
      <c r="P28" s="345"/>
      <c r="Q28" s="345"/>
      <c r="R28" s="346"/>
      <c r="S28" s="343"/>
    </row>
    <row r="29" spans="1:19" ht="15" x14ac:dyDescent="0.25">
      <c r="A29" s="294"/>
      <c r="B29" s="362" t="s">
        <v>182</v>
      </c>
      <c r="C29" s="290"/>
      <c r="D29" s="257"/>
      <c r="E29" s="143"/>
      <c r="F29" s="143"/>
      <c r="G29" s="143"/>
      <c r="H29" s="143"/>
      <c r="I29" s="143"/>
      <c r="J29" s="345"/>
      <c r="K29" s="340"/>
      <c r="L29" s="336"/>
      <c r="M29" s="336"/>
      <c r="N29" s="345"/>
      <c r="O29" s="340"/>
      <c r="P29" s="345"/>
      <c r="Q29" s="345"/>
      <c r="R29" s="346"/>
      <c r="S29" s="343"/>
    </row>
    <row r="30" spans="1:19" ht="15" x14ac:dyDescent="0.25">
      <c r="A30" s="294"/>
      <c r="B30" s="362" t="s">
        <v>224</v>
      </c>
      <c r="C30" s="290"/>
      <c r="D30" s="257"/>
      <c r="E30" s="143"/>
      <c r="F30" s="143"/>
      <c r="G30" s="143"/>
      <c r="H30" s="143"/>
      <c r="I30" s="143"/>
      <c r="J30" s="347"/>
      <c r="K30" s="497"/>
      <c r="L30" s="332"/>
      <c r="M30" s="332"/>
      <c r="N30" s="347"/>
      <c r="O30" s="340"/>
      <c r="P30" s="345"/>
      <c r="Q30" s="345"/>
      <c r="R30" s="348"/>
      <c r="S30" s="343"/>
    </row>
    <row r="31" spans="1:19" ht="15" x14ac:dyDescent="0.25">
      <c r="A31" s="294"/>
      <c r="B31" s="362" t="s">
        <v>215</v>
      </c>
      <c r="C31" s="290"/>
      <c r="D31" s="257"/>
      <c r="E31" s="143"/>
      <c r="F31" s="143"/>
      <c r="G31" s="143"/>
      <c r="H31" s="143"/>
      <c r="I31" s="143"/>
      <c r="J31" s="143"/>
      <c r="K31" s="349"/>
      <c r="L31" s="336"/>
      <c r="M31" s="336"/>
      <c r="N31" s="143"/>
      <c r="O31" s="349"/>
      <c r="P31" s="143"/>
      <c r="Q31" s="143"/>
      <c r="R31" s="346"/>
      <c r="S31" s="343"/>
    </row>
    <row r="32" spans="1:19" ht="15" x14ac:dyDescent="0.25">
      <c r="A32" s="295"/>
      <c r="B32" s="361"/>
      <c r="C32" s="358" t="s">
        <v>185</v>
      </c>
      <c r="D32" s="303"/>
      <c r="E32" s="353">
        <v>7</v>
      </c>
      <c r="F32" s="353">
        <v>7.5</v>
      </c>
      <c r="G32" s="353">
        <v>6.5</v>
      </c>
      <c r="H32" s="353">
        <v>6.5</v>
      </c>
      <c r="I32" s="353">
        <v>6</v>
      </c>
      <c r="J32" s="354">
        <f>SUM((E32*0.25)+(F32*0.25)+(G32*0.2)+(H32*0.2)+(I32*0.1))</f>
        <v>6.8249999999999993</v>
      </c>
      <c r="K32" s="355"/>
      <c r="L32" s="350">
        <v>7.5</v>
      </c>
      <c r="M32" s="351"/>
      <c r="N32" s="499">
        <f>SUM(L32-M32)</f>
        <v>7.5</v>
      </c>
      <c r="O32" s="352"/>
      <c r="P32" s="499">
        <f>J32</f>
        <v>6.8249999999999993</v>
      </c>
      <c r="Q32" s="499">
        <f>N32</f>
        <v>7.5</v>
      </c>
      <c r="R32" s="356">
        <f>SUM((N32*0.5)+(J32*0.5))</f>
        <v>7.1624999999999996</v>
      </c>
      <c r="S32" s="357">
        <v>3</v>
      </c>
    </row>
    <row r="33" spans="1:19" ht="15" x14ac:dyDescent="0.25">
      <c r="A33" s="294"/>
      <c r="B33" s="362" t="s">
        <v>133</v>
      </c>
      <c r="C33" s="290"/>
      <c r="D33" s="257"/>
      <c r="E33" s="143"/>
      <c r="F33" s="143"/>
      <c r="G33" s="143"/>
      <c r="H33" s="143"/>
      <c r="I33" s="143"/>
      <c r="J33" s="345"/>
      <c r="K33" s="340"/>
      <c r="L33" s="336"/>
      <c r="M33" s="336"/>
      <c r="N33" s="345"/>
      <c r="O33" s="340"/>
      <c r="P33" s="345"/>
      <c r="Q33" s="345"/>
      <c r="R33" s="346"/>
      <c r="S33" s="343"/>
    </row>
    <row r="34" spans="1:19" ht="15" x14ac:dyDescent="0.25">
      <c r="A34" s="294"/>
      <c r="B34" s="362" t="s">
        <v>163</v>
      </c>
      <c r="C34" s="290"/>
      <c r="D34" s="257"/>
      <c r="E34" s="143"/>
      <c r="F34" s="143"/>
      <c r="G34" s="143"/>
      <c r="H34" s="143"/>
      <c r="I34" s="143"/>
      <c r="J34" s="347"/>
      <c r="K34" s="497"/>
      <c r="L34" s="332"/>
      <c r="M34" s="332"/>
      <c r="N34" s="347"/>
      <c r="O34" s="340"/>
      <c r="P34" s="345"/>
      <c r="Q34" s="345"/>
      <c r="R34" s="348"/>
      <c r="S34" s="343"/>
    </row>
    <row r="35" spans="1:19" ht="15" x14ac:dyDescent="0.25">
      <c r="A35" s="294"/>
      <c r="B35" s="362" t="s">
        <v>164</v>
      </c>
      <c r="C35" s="290"/>
      <c r="D35" s="257"/>
      <c r="E35" s="143"/>
      <c r="F35" s="143"/>
      <c r="G35" s="143"/>
      <c r="H35" s="143"/>
      <c r="I35" s="143"/>
      <c r="J35" s="345"/>
      <c r="K35" s="340"/>
      <c r="L35" s="336"/>
      <c r="M35" s="336"/>
      <c r="N35" s="345"/>
      <c r="O35" s="340"/>
      <c r="P35" s="345"/>
      <c r="Q35" s="345"/>
      <c r="R35" s="346"/>
      <c r="S35" s="343"/>
    </row>
    <row r="36" spans="1:19" ht="15" x14ac:dyDescent="0.25">
      <c r="A36" s="294"/>
      <c r="B36" s="362" t="s">
        <v>165</v>
      </c>
      <c r="C36" s="290"/>
      <c r="D36" s="257"/>
      <c r="E36" s="143"/>
      <c r="F36" s="143"/>
      <c r="G36" s="143"/>
      <c r="H36" s="143"/>
      <c r="I36" s="143"/>
      <c r="J36" s="345"/>
      <c r="K36" s="340"/>
      <c r="L36" s="336"/>
      <c r="M36" s="336"/>
      <c r="N36" s="345"/>
      <c r="O36" s="340"/>
      <c r="P36" s="345"/>
      <c r="Q36" s="345"/>
      <c r="R36" s="346"/>
      <c r="S36" s="343"/>
    </row>
    <row r="37" spans="1:19" ht="15" x14ac:dyDescent="0.25">
      <c r="A37" s="294"/>
      <c r="B37" s="362" t="s">
        <v>166</v>
      </c>
      <c r="C37" s="290"/>
      <c r="D37" s="257"/>
      <c r="E37" s="143"/>
      <c r="F37" s="143"/>
      <c r="G37" s="143"/>
      <c r="H37" s="143"/>
      <c r="I37" s="143"/>
      <c r="J37" s="347"/>
      <c r="K37" s="497"/>
      <c r="L37" s="332"/>
      <c r="M37" s="332"/>
      <c r="N37" s="347"/>
      <c r="O37" s="340"/>
      <c r="P37" s="345"/>
      <c r="Q37" s="345"/>
      <c r="R37" s="348"/>
      <c r="S37" s="343"/>
    </row>
    <row r="38" spans="1:19" ht="15" x14ac:dyDescent="0.25">
      <c r="A38" s="294"/>
      <c r="B38" s="362" t="s">
        <v>167</v>
      </c>
      <c r="C38" s="290"/>
      <c r="D38" s="257"/>
      <c r="E38" s="143"/>
      <c r="F38" s="143"/>
      <c r="G38" s="143"/>
      <c r="H38" s="143"/>
      <c r="I38" s="143"/>
      <c r="J38" s="143"/>
      <c r="K38" s="349"/>
      <c r="L38" s="336"/>
      <c r="M38" s="336"/>
      <c r="N38" s="143"/>
      <c r="O38" s="349"/>
      <c r="P38" s="143"/>
      <c r="Q38" s="143"/>
      <c r="R38" s="346"/>
      <c r="S38" s="343"/>
    </row>
    <row r="39" spans="1:19" ht="15" x14ac:dyDescent="0.25">
      <c r="A39" s="295"/>
      <c r="B39" s="363"/>
      <c r="C39" s="358" t="s">
        <v>141</v>
      </c>
      <c r="D39" s="303"/>
      <c r="E39" s="353">
        <v>7.5</v>
      </c>
      <c r="F39" s="353">
        <v>7</v>
      </c>
      <c r="G39" s="353">
        <v>5.5</v>
      </c>
      <c r="H39" s="353">
        <v>4</v>
      </c>
      <c r="I39" s="353">
        <v>6</v>
      </c>
      <c r="J39" s="354">
        <f>SUM((E39*0.25)+(F39*0.25)+(G39*0.2)+(H39*0.2)+(I39*0.1))</f>
        <v>6.125</v>
      </c>
      <c r="K39" s="355"/>
      <c r="L39" s="350">
        <v>7.7</v>
      </c>
      <c r="M39" s="351"/>
      <c r="N39" s="499">
        <f>SUM(L39-M39)</f>
        <v>7.7</v>
      </c>
      <c r="O39" s="352"/>
      <c r="P39" s="499">
        <f>J39</f>
        <v>6.125</v>
      </c>
      <c r="Q39" s="499">
        <f>N39</f>
        <v>7.7</v>
      </c>
      <c r="R39" s="356">
        <f>SUM((N39*0.5)+(J39*0.5))</f>
        <v>6.9124999999999996</v>
      </c>
      <c r="S39" s="357">
        <v>4</v>
      </c>
    </row>
    <row r="40" spans="1:19" ht="15" x14ac:dyDescent="0.25">
      <c r="A40" s="494"/>
      <c r="B40" s="24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</row>
    <row r="41" spans="1:19" ht="15" x14ac:dyDescent="0.25">
      <c r="A41" s="494"/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</row>
    <row r="42" spans="1:19" ht="15" x14ac:dyDescent="0.25">
      <c r="A42" s="494"/>
      <c r="B42" s="494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</row>
    <row r="43" spans="1:19" ht="15" x14ac:dyDescent="0.25">
      <c r="A43" s="494"/>
      <c r="B43" s="494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</row>
    <row r="44" spans="1:19" ht="15" x14ac:dyDescent="0.25">
      <c r="A44" s="494"/>
      <c r="B44" s="494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</row>
    <row r="45" spans="1:19" ht="15" x14ac:dyDescent="0.25">
      <c r="A45" s="494"/>
      <c r="B45" s="494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S45" s="494"/>
    </row>
    <row r="46" spans="1:19" ht="15" x14ac:dyDescent="0.25">
      <c r="A46" s="494"/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</row>
    <row r="47" spans="1:19" ht="15" x14ac:dyDescent="0.25">
      <c r="A47" s="494"/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</row>
    <row r="48" spans="1:19" ht="15" x14ac:dyDescent="0.25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</row>
    <row r="49" spans="1:19" ht="15" x14ac:dyDescent="0.25">
      <c r="A49" s="494"/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</row>
    <row r="50" spans="1:19" ht="15" x14ac:dyDescent="0.25">
      <c r="A50" s="494"/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</row>
    <row r="51" spans="1:19" ht="15" x14ac:dyDescent="0.25">
      <c r="A51" s="494"/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</row>
    <row r="52" spans="1:19" ht="15" x14ac:dyDescent="0.25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</row>
    <row r="53" spans="1:19" ht="15" x14ac:dyDescent="0.25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</row>
    <row r="54" spans="1:19" ht="15" x14ac:dyDescent="0.25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</row>
    <row r="55" spans="1:19" ht="15" x14ac:dyDescent="0.25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</row>
    <row r="56" spans="1:19" ht="15" x14ac:dyDescent="0.25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</row>
    <row r="57" spans="1:19" ht="15" x14ac:dyDescent="0.25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</row>
    <row r="58" spans="1:19" ht="15" x14ac:dyDescent="0.25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</row>
    <row r="59" spans="1:19" ht="15" x14ac:dyDescent="0.25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</row>
    <row r="60" spans="1:19" ht="15" x14ac:dyDescent="0.25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</row>
    <row r="61" spans="1:19" ht="15" x14ac:dyDescent="0.25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</row>
    <row r="62" spans="1:19" ht="15" x14ac:dyDescent="0.25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</row>
    <row r="63" spans="1:19" ht="15" x14ac:dyDescent="0.25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</row>
  </sheetData>
  <mergeCells count="3">
    <mergeCell ref="A3:B3"/>
    <mergeCell ref="A7:B7"/>
    <mergeCell ref="M7:N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21"/>
  <sheetViews>
    <sheetView topLeftCell="A4" workbookViewId="0">
      <pane xSplit="2" topLeftCell="C1" activePane="topRight" state="frozen"/>
      <selection activeCell="A4" sqref="A4"/>
      <selection pane="topRight" activeCell="A10" sqref="A10"/>
    </sheetView>
  </sheetViews>
  <sheetFormatPr defaultColWidth="9.140625" defaultRowHeight="15" x14ac:dyDescent="0.25"/>
  <cols>
    <col min="1" max="1" width="5.42578125" style="3" customWidth="1"/>
    <col min="2" max="2" width="16.42578125" style="3" customWidth="1"/>
    <col min="3" max="3" width="18.42578125" style="3" customWidth="1"/>
    <col min="4" max="4" width="15.28515625" style="3" customWidth="1"/>
    <col min="5" max="5" width="12" style="3" customWidth="1"/>
    <col min="6" max="6" width="8" style="3" customWidth="1"/>
    <col min="7" max="11" width="7.7109375" style="3" customWidth="1"/>
    <col min="12" max="12" width="3.140625" style="3" customWidth="1"/>
    <col min="13" max="18" width="7.7109375" style="3" customWidth="1"/>
    <col min="19" max="19" width="3.140625" style="3" customWidth="1"/>
    <col min="20" max="25" width="7.7109375" style="3" customWidth="1"/>
    <col min="26" max="26" width="3.28515625" style="3" customWidth="1"/>
    <col min="27" max="36" width="7.7109375" style="3" customWidth="1"/>
    <col min="37" max="37" width="3.28515625" style="3" customWidth="1"/>
    <col min="38" max="46" width="7.7109375" style="3" customWidth="1"/>
    <col min="47" max="47" width="2.7109375" style="3" customWidth="1"/>
    <col min="48" max="52" width="7.7109375" style="3" customWidth="1"/>
    <col min="53" max="53" width="3.28515625" style="5" customWidth="1"/>
    <col min="54" max="63" width="7.7109375" style="3" customWidth="1"/>
    <col min="64" max="64" width="3.28515625" style="3" customWidth="1"/>
    <col min="65" max="72" width="7.7109375" style="3" customWidth="1"/>
    <col min="73" max="73" width="3.28515625" style="3" customWidth="1"/>
    <col min="74" max="80" width="7.7109375" style="3" customWidth="1"/>
    <col min="81" max="81" width="3.28515625" style="3" customWidth="1"/>
    <col min="82" max="84" width="7.7109375" style="233" customWidth="1"/>
    <col min="85" max="85" width="8.7109375" style="3" customWidth="1"/>
    <col min="86" max="86" width="2.7109375" style="3" customWidth="1"/>
    <col min="87" max="94" width="7.7109375" style="233" customWidth="1"/>
    <col min="95" max="95" width="3" style="233" customWidth="1"/>
    <col min="96" max="96" width="12.140625" style="3" customWidth="1"/>
    <col min="97" max="97" width="3" style="3" customWidth="1"/>
    <col min="98" max="98" width="10.7109375" style="3" customWidth="1"/>
    <col min="99" max="99" width="2.7109375" style="5" customWidth="1"/>
    <col min="100" max="100" width="10.42578125" style="3" customWidth="1"/>
    <col min="101" max="101" width="2.7109375" style="5" customWidth="1"/>
    <col min="102" max="102" width="9.140625" style="3"/>
    <col min="103" max="103" width="13.28515625" style="3" customWidth="1"/>
    <col min="104" max="16384" width="9.140625" style="3"/>
  </cols>
  <sheetData>
    <row r="1" spans="1:103" ht="15.75" x14ac:dyDescent="0.25">
      <c r="A1" s="232" t="str">
        <f>CompDetail!A1</f>
        <v>NSW State Championships</v>
      </c>
      <c r="D1" s="4" t="s">
        <v>0</v>
      </c>
      <c r="E1" s="4" t="s">
        <v>253</v>
      </c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AA1" s="6"/>
      <c r="AB1" s="6"/>
      <c r="AC1" s="6"/>
      <c r="AD1" s="5"/>
      <c r="AH1" s="6"/>
      <c r="AI1" s="6"/>
      <c r="AJ1" s="6"/>
      <c r="AK1" s="6"/>
      <c r="AL1" s="6"/>
      <c r="AM1" s="6"/>
      <c r="AN1" s="6"/>
      <c r="AO1" s="6"/>
      <c r="AP1" s="6"/>
      <c r="AQ1" s="6"/>
      <c r="BB1" s="6"/>
      <c r="BC1" s="6"/>
      <c r="BD1" s="6"/>
      <c r="BE1" s="5"/>
      <c r="BI1" s="6"/>
      <c r="BJ1" s="6"/>
      <c r="BK1" s="6"/>
      <c r="CC1" s="5"/>
      <c r="CY1" s="8">
        <f ca="1">NOW()</f>
        <v>43266.404079513886</v>
      </c>
    </row>
    <row r="2" spans="1:103" ht="15.75" x14ac:dyDescent="0.25">
      <c r="A2" s="53"/>
      <c r="D2" s="4"/>
      <c r="E2" s="4" t="s">
        <v>254</v>
      </c>
      <c r="F2" s="4"/>
      <c r="G2" s="5"/>
      <c r="Z2" s="70"/>
      <c r="AD2" s="5"/>
      <c r="BA2" s="70"/>
      <c r="BE2" s="5"/>
      <c r="CC2" s="5"/>
      <c r="CY2" s="11">
        <f ca="1">NOW()</f>
        <v>43266.404079513886</v>
      </c>
    </row>
    <row r="3" spans="1:103" ht="15.75" x14ac:dyDescent="0.25">
      <c r="A3" s="510" t="str">
        <f>CompDetail!A3</f>
        <v>June 9 to 11 2018</v>
      </c>
      <c r="B3" s="511"/>
      <c r="D3" s="4"/>
      <c r="E3" s="3" t="s">
        <v>255</v>
      </c>
      <c r="F3" s="15"/>
      <c r="G3" s="16"/>
      <c r="H3" s="15"/>
      <c r="I3" s="16"/>
      <c r="J3" s="16"/>
      <c r="K3" s="16"/>
      <c r="L3" s="5"/>
      <c r="M3" s="71"/>
      <c r="N3" s="72"/>
      <c r="O3" s="71"/>
      <c r="P3" s="72"/>
      <c r="Q3" s="72"/>
      <c r="R3" s="72"/>
      <c r="S3" s="72"/>
      <c r="T3" s="73"/>
      <c r="U3" s="14"/>
      <c r="V3" s="73"/>
      <c r="W3" s="14"/>
      <c r="X3" s="14"/>
      <c r="Y3" s="14"/>
      <c r="Z3" s="70"/>
      <c r="AA3" s="74"/>
      <c r="AB3" s="75"/>
      <c r="AC3" s="75"/>
      <c r="AD3" s="75"/>
      <c r="AE3" s="75"/>
      <c r="AF3" s="75"/>
      <c r="AG3" s="75"/>
      <c r="AH3" s="75"/>
      <c r="AI3" s="75"/>
      <c r="AJ3" s="75"/>
      <c r="AK3" s="5"/>
      <c r="AL3" s="72"/>
      <c r="AM3" s="72"/>
      <c r="AN3" s="72"/>
      <c r="AO3" s="72"/>
      <c r="AP3" s="72"/>
      <c r="AQ3" s="72"/>
      <c r="AR3" s="72"/>
      <c r="AS3" s="72"/>
      <c r="AT3" s="72"/>
      <c r="AU3" s="5"/>
      <c r="AV3" s="14"/>
      <c r="AW3" s="14"/>
      <c r="AX3" s="14"/>
      <c r="AY3" s="14"/>
      <c r="AZ3" s="14"/>
      <c r="BA3" s="70"/>
      <c r="BB3" s="74"/>
      <c r="BC3" s="75"/>
      <c r="BD3" s="75"/>
      <c r="BE3" s="75"/>
      <c r="BF3" s="75"/>
      <c r="BG3" s="75"/>
      <c r="BH3" s="75"/>
      <c r="BI3" s="75"/>
      <c r="BJ3" s="75"/>
      <c r="BK3" s="75"/>
      <c r="BL3" s="5"/>
      <c r="BM3" s="72"/>
      <c r="BN3" s="72"/>
      <c r="BO3" s="72"/>
      <c r="BP3" s="72"/>
      <c r="BQ3" s="72"/>
      <c r="BR3" s="72"/>
      <c r="BS3" s="72"/>
      <c r="BT3" s="72"/>
      <c r="BU3" s="72"/>
      <c r="BV3" s="14"/>
      <c r="BW3" s="14"/>
      <c r="BX3" s="14"/>
      <c r="BY3" s="14"/>
      <c r="BZ3" s="14"/>
      <c r="CA3" s="14"/>
      <c r="CB3" s="14"/>
      <c r="CC3" s="5"/>
    </row>
    <row r="4" spans="1:103" ht="15.75" x14ac:dyDescent="0.25">
      <c r="A4" s="53"/>
      <c r="D4" s="4"/>
      <c r="F4" s="76" t="s">
        <v>31</v>
      </c>
      <c r="G4" s="77"/>
      <c r="H4" s="76"/>
      <c r="I4" s="77"/>
      <c r="J4" s="77"/>
      <c r="K4" s="77"/>
      <c r="M4" s="20" t="s">
        <v>75</v>
      </c>
      <c r="N4" s="21"/>
      <c r="O4" s="20"/>
      <c r="P4" s="21"/>
      <c r="Q4" s="21"/>
      <c r="R4" s="21"/>
      <c r="S4" s="72"/>
      <c r="T4" s="78" t="s">
        <v>20</v>
      </c>
      <c r="U4" s="19"/>
      <c r="V4" s="78"/>
      <c r="W4" s="19"/>
      <c r="X4" s="19"/>
      <c r="Y4" s="19"/>
      <c r="Z4" s="70"/>
      <c r="AA4" s="76" t="s">
        <v>31</v>
      </c>
      <c r="AB4" s="77"/>
      <c r="AC4" s="77"/>
      <c r="AD4" s="77"/>
      <c r="AE4" s="77"/>
      <c r="AF4" s="77"/>
      <c r="AG4" s="77"/>
      <c r="AH4" s="77"/>
      <c r="AI4" s="77"/>
      <c r="AJ4" s="77"/>
      <c r="AL4" s="21" t="s">
        <v>75</v>
      </c>
      <c r="AM4" s="21"/>
      <c r="AN4" s="21"/>
      <c r="AO4" s="21"/>
      <c r="AP4" s="21"/>
      <c r="AQ4" s="21"/>
      <c r="AR4" s="21"/>
      <c r="AS4" s="21"/>
      <c r="AT4" s="21"/>
      <c r="AV4" s="19" t="s">
        <v>20</v>
      </c>
      <c r="AW4" s="19"/>
      <c r="AX4" s="19"/>
      <c r="AY4" s="19"/>
      <c r="AZ4" s="19"/>
      <c r="BA4" s="70"/>
      <c r="BB4" s="76" t="s">
        <v>31</v>
      </c>
      <c r="BC4" s="77"/>
      <c r="BD4" s="77"/>
      <c r="BE4" s="77"/>
      <c r="BF4" s="77"/>
      <c r="BG4" s="77"/>
      <c r="BH4" s="77"/>
      <c r="BI4" s="77"/>
      <c r="BJ4" s="77"/>
      <c r="BK4" s="77"/>
      <c r="BM4" s="21" t="s">
        <v>75</v>
      </c>
      <c r="BN4" s="21"/>
      <c r="BO4" s="21"/>
      <c r="BP4" s="21"/>
      <c r="BQ4" s="21"/>
      <c r="BR4" s="21"/>
      <c r="BS4" s="21"/>
      <c r="BT4" s="21"/>
      <c r="BU4" s="72"/>
      <c r="BV4" s="19" t="s">
        <v>20</v>
      </c>
      <c r="BW4" s="19"/>
      <c r="BX4" s="19"/>
      <c r="BY4" s="19"/>
      <c r="BZ4" s="19"/>
      <c r="CA4" s="19"/>
      <c r="CB4" s="19"/>
      <c r="CC4" s="5"/>
    </row>
    <row r="5" spans="1:103" ht="15.75" x14ac:dyDescent="0.25">
      <c r="A5" s="52" t="s">
        <v>1</v>
      </c>
      <c r="B5" s="9"/>
      <c r="F5" s="9" t="s">
        <v>58</v>
      </c>
      <c r="G5" s="5" t="s">
        <v>253</v>
      </c>
      <c r="I5" s="9"/>
      <c r="M5" s="9" t="s">
        <v>58</v>
      </c>
      <c r="N5" s="5" t="s">
        <v>254</v>
      </c>
      <c r="P5" s="9"/>
      <c r="T5" s="9" t="s">
        <v>58</v>
      </c>
      <c r="U5" s="5" t="s">
        <v>255</v>
      </c>
      <c r="W5" s="9"/>
      <c r="Z5" s="70"/>
      <c r="AA5" s="9" t="s">
        <v>57</v>
      </c>
      <c r="AB5" s="3" t="s">
        <v>254</v>
      </c>
      <c r="AD5" s="5"/>
      <c r="AL5" s="9" t="s">
        <v>57</v>
      </c>
      <c r="AM5" s="3" t="s">
        <v>255</v>
      </c>
      <c r="AV5" s="9" t="s">
        <v>57</v>
      </c>
      <c r="AW5" s="3" t="s">
        <v>253</v>
      </c>
      <c r="BA5" s="70"/>
      <c r="BB5" s="9" t="s">
        <v>59</v>
      </c>
      <c r="BC5" s="3" t="str">
        <f>E3</f>
        <v>R BRUDERER</v>
      </c>
      <c r="BE5" s="5"/>
      <c r="BM5" s="9" t="s">
        <v>59</v>
      </c>
      <c r="BN5" s="3" t="s">
        <v>253</v>
      </c>
      <c r="BV5" s="9" t="s">
        <v>59</v>
      </c>
      <c r="BW5" s="3" t="s">
        <v>254</v>
      </c>
      <c r="CC5" s="5"/>
      <c r="CG5" s="9" t="s">
        <v>21</v>
      </c>
      <c r="CH5" s="9"/>
      <c r="CR5" s="9"/>
    </row>
    <row r="6" spans="1:103" ht="15.75" x14ac:dyDescent="0.25">
      <c r="A6" s="53" t="s">
        <v>64</v>
      </c>
      <c r="B6" s="9" t="s">
        <v>242</v>
      </c>
      <c r="G6" s="5"/>
      <c r="N6" s="5"/>
      <c r="U6" s="5"/>
      <c r="Z6" s="70"/>
      <c r="AD6" s="5"/>
      <c r="AU6" s="5"/>
      <c r="BA6" s="70"/>
      <c r="BE6" s="5"/>
      <c r="CC6" s="5"/>
      <c r="CD6" s="512" t="s">
        <v>31</v>
      </c>
      <c r="CE6" s="512"/>
      <c r="CF6" s="512"/>
      <c r="CI6" s="512" t="s">
        <v>75</v>
      </c>
      <c r="CJ6" s="512"/>
      <c r="CK6" s="512"/>
      <c r="CL6" s="486"/>
      <c r="CM6" s="512" t="s">
        <v>20</v>
      </c>
      <c r="CN6" s="512"/>
      <c r="CO6" s="512"/>
      <c r="CP6" s="486"/>
      <c r="CQ6" s="486"/>
    </row>
    <row r="7" spans="1:103" x14ac:dyDescent="0.25">
      <c r="F7" s="3" t="s">
        <v>35</v>
      </c>
      <c r="K7" s="6"/>
      <c r="L7" s="6"/>
      <c r="M7" s="3" t="s">
        <v>35</v>
      </c>
      <c r="R7" s="6"/>
      <c r="S7" s="6"/>
      <c r="T7" s="3" t="s">
        <v>35</v>
      </c>
      <c r="Y7" s="6"/>
      <c r="Z7" s="70"/>
      <c r="AB7" s="6"/>
      <c r="AC7" s="6"/>
      <c r="AD7" s="6"/>
      <c r="AE7" s="6"/>
      <c r="AF7" s="6"/>
      <c r="AG7" s="6"/>
      <c r="AH7" s="6"/>
      <c r="AI7" s="6"/>
      <c r="AJ7" s="6"/>
      <c r="AK7" s="23"/>
      <c r="AL7" s="23"/>
      <c r="AM7" s="23"/>
      <c r="AN7" s="23"/>
      <c r="AO7" s="23"/>
      <c r="AP7" s="23"/>
      <c r="AQ7" s="23"/>
      <c r="AR7" s="9"/>
      <c r="AT7" s="9" t="s">
        <v>22</v>
      </c>
      <c r="AU7" s="5"/>
      <c r="AV7" s="9"/>
      <c r="AW7" s="3" t="s">
        <v>19</v>
      </c>
      <c r="AX7" s="24" t="s">
        <v>45</v>
      </c>
      <c r="AY7" s="9"/>
      <c r="AZ7" s="9" t="s">
        <v>22</v>
      </c>
      <c r="BA7" s="70"/>
      <c r="BC7" s="6"/>
      <c r="BD7" s="6"/>
      <c r="BE7" s="6"/>
      <c r="BF7" s="6"/>
      <c r="BG7" s="6"/>
      <c r="BH7" s="6"/>
      <c r="BI7" s="6"/>
      <c r="BJ7" s="6"/>
      <c r="BK7" s="6"/>
      <c r="BL7" s="23"/>
      <c r="BM7" s="22" t="s">
        <v>23</v>
      </c>
      <c r="BN7" s="24"/>
      <c r="BO7" s="24"/>
      <c r="BP7" s="24"/>
      <c r="BT7" s="22" t="s">
        <v>56</v>
      </c>
      <c r="BU7" s="22"/>
      <c r="BV7" s="24" t="s">
        <v>23</v>
      </c>
      <c r="BW7" s="24"/>
      <c r="BX7" s="24"/>
      <c r="BY7" s="24"/>
      <c r="BZ7" s="22"/>
      <c r="CA7" s="22"/>
      <c r="CB7" s="22" t="s">
        <v>56</v>
      </c>
      <c r="CC7" s="5"/>
      <c r="CD7" s="486"/>
      <c r="CE7" s="486"/>
      <c r="CF7" s="241"/>
      <c r="CG7" s="25" t="s">
        <v>17</v>
      </c>
      <c r="CH7" s="25"/>
      <c r="CI7" s="486"/>
      <c r="CJ7" s="486"/>
      <c r="CK7" s="241"/>
      <c r="CL7" s="421" t="s">
        <v>268</v>
      </c>
      <c r="CM7" s="433"/>
      <c r="CN7" s="486"/>
      <c r="CO7" s="241"/>
      <c r="CP7" s="421" t="s">
        <v>274</v>
      </c>
      <c r="CQ7" s="237"/>
      <c r="CR7" s="25" t="s">
        <v>61</v>
      </c>
      <c r="CS7" s="25"/>
      <c r="CT7" s="25" t="s">
        <v>77</v>
      </c>
      <c r="CU7" s="26"/>
      <c r="CV7" s="25" t="s">
        <v>62</v>
      </c>
      <c r="CW7" s="26"/>
      <c r="CX7" s="27" t="s">
        <v>63</v>
      </c>
      <c r="CY7" s="28"/>
    </row>
    <row r="8" spans="1:103" s="24" customFormat="1" x14ac:dyDescent="0.25">
      <c r="A8" s="79" t="s">
        <v>33</v>
      </c>
      <c r="B8" s="79" t="s">
        <v>34</v>
      </c>
      <c r="C8" s="79" t="s">
        <v>35</v>
      </c>
      <c r="D8" s="79" t="s">
        <v>36</v>
      </c>
      <c r="E8" s="79" t="s">
        <v>37</v>
      </c>
      <c r="F8" s="80" t="s">
        <v>7</v>
      </c>
      <c r="G8" s="80" t="s">
        <v>8</v>
      </c>
      <c r="H8" s="80" t="s">
        <v>9</v>
      </c>
      <c r="I8" s="80" t="s">
        <v>10</v>
      </c>
      <c r="J8" s="80" t="s">
        <v>11</v>
      </c>
      <c r="K8" s="80" t="s">
        <v>35</v>
      </c>
      <c r="L8" s="54"/>
      <c r="M8" s="80" t="s">
        <v>7</v>
      </c>
      <c r="N8" s="80" t="s">
        <v>8</v>
      </c>
      <c r="O8" s="80" t="s">
        <v>9</v>
      </c>
      <c r="P8" s="80" t="s">
        <v>10</v>
      </c>
      <c r="Q8" s="80" t="s">
        <v>11</v>
      </c>
      <c r="R8" s="80" t="s">
        <v>35</v>
      </c>
      <c r="S8" s="81"/>
      <c r="T8" s="80" t="s">
        <v>7</v>
      </c>
      <c r="U8" s="80" t="s">
        <v>8</v>
      </c>
      <c r="V8" s="80" t="s">
        <v>9</v>
      </c>
      <c r="W8" s="80" t="s">
        <v>10</v>
      </c>
      <c r="X8" s="80" t="s">
        <v>11</v>
      </c>
      <c r="Y8" s="80" t="s">
        <v>35</v>
      </c>
      <c r="Z8" s="82"/>
      <c r="AA8" s="79" t="s">
        <v>38</v>
      </c>
      <c r="AB8" s="79" t="s">
        <v>51</v>
      </c>
      <c r="AC8" s="83" t="s">
        <v>2</v>
      </c>
      <c r="AD8" s="84" t="s">
        <v>50</v>
      </c>
      <c r="AE8" s="84" t="s">
        <v>49</v>
      </c>
      <c r="AF8" s="83" t="s">
        <v>3</v>
      </c>
      <c r="AG8" s="83" t="s">
        <v>4</v>
      </c>
      <c r="AH8" s="83" t="s">
        <v>5</v>
      </c>
      <c r="AI8" s="79" t="s">
        <v>47</v>
      </c>
      <c r="AJ8" s="85" t="s">
        <v>46</v>
      </c>
      <c r="AK8" s="37"/>
      <c r="AL8" s="23" t="s">
        <v>91</v>
      </c>
      <c r="AM8" s="23" t="s">
        <v>92</v>
      </c>
      <c r="AN8" s="23" t="s">
        <v>93</v>
      </c>
      <c r="AO8" s="23" t="s">
        <v>94</v>
      </c>
      <c r="AP8" s="23" t="s">
        <v>95</v>
      </c>
      <c r="AQ8" s="23" t="s">
        <v>47</v>
      </c>
      <c r="AR8" s="83" t="s">
        <v>45</v>
      </c>
      <c r="AS8" s="83" t="s">
        <v>22</v>
      </c>
      <c r="AT8" s="86" t="s">
        <v>24</v>
      </c>
      <c r="AU8" s="37"/>
      <c r="AV8" s="55" t="s">
        <v>45</v>
      </c>
      <c r="AW8" s="56" t="s">
        <v>18</v>
      </c>
      <c r="AX8" s="56" t="s">
        <v>24</v>
      </c>
      <c r="AY8" s="55" t="s">
        <v>6</v>
      </c>
      <c r="AZ8" s="87" t="s">
        <v>24</v>
      </c>
      <c r="BA8" s="88"/>
      <c r="BB8" s="79" t="s">
        <v>38</v>
      </c>
      <c r="BC8" s="79" t="s">
        <v>51</v>
      </c>
      <c r="BD8" s="83" t="s">
        <v>2</v>
      </c>
      <c r="BE8" s="84" t="s">
        <v>50</v>
      </c>
      <c r="BF8" s="84" t="s">
        <v>49</v>
      </c>
      <c r="BG8" s="83" t="s">
        <v>3</v>
      </c>
      <c r="BH8" s="83" t="s">
        <v>4</v>
      </c>
      <c r="BI8" s="83" t="s">
        <v>5</v>
      </c>
      <c r="BJ8" s="79" t="s">
        <v>47</v>
      </c>
      <c r="BK8" s="85" t="s">
        <v>46</v>
      </c>
      <c r="BL8" s="37"/>
      <c r="BM8" s="80" t="s">
        <v>88</v>
      </c>
      <c r="BN8" s="80" t="s">
        <v>89</v>
      </c>
      <c r="BO8" s="80" t="s">
        <v>90</v>
      </c>
      <c r="BP8" s="80"/>
      <c r="BQ8" s="80"/>
      <c r="BR8" s="80" t="s">
        <v>42</v>
      </c>
      <c r="BS8" s="79" t="s">
        <v>19</v>
      </c>
      <c r="BT8" s="85" t="s">
        <v>24</v>
      </c>
      <c r="BU8" s="89"/>
      <c r="BV8" s="80" t="s">
        <v>7</v>
      </c>
      <c r="BW8" s="80" t="s">
        <v>8</v>
      </c>
      <c r="BX8" s="80" t="s">
        <v>9</v>
      </c>
      <c r="BY8" s="80" t="s">
        <v>10</v>
      </c>
      <c r="BZ8" s="80" t="s">
        <v>11</v>
      </c>
      <c r="CA8" s="80" t="s">
        <v>76</v>
      </c>
      <c r="CB8" s="90" t="s">
        <v>24</v>
      </c>
      <c r="CC8" s="57"/>
      <c r="CD8" s="412" t="s">
        <v>101</v>
      </c>
      <c r="CE8" s="412" t="s">
        <v>102</v>
      </c>
      <c r="CF8" s="413" t="s">
        <v>103</v>
      </c>
      <c r="CG8" s="91" t="s">
        <v>41</v>
      </c>
      <c r="CH8" s="436"/>
      <c r="CI8" s="412" t="s">
        <v>101</v>
      </c>
      <c r="CJ8" s="412" t="s">
        <v>102</v>
      </c>
      <c r="CK8" s="413" t="s">
        <v>103</v>
      </c>
      <c r="CL8" s="432" t="s">
        <v>269</v>
      </c>
      <c r="CM8" s="434" t="s">
        <v>101</v>
      </c>
      <c r="CN8" s="412" t="s">
        <v>102</v>
      </c>
      <c r="CO8" s="413" t="s">
        <v>103</v>
      </c>
      <c r="CP8" s="432" t="s">
        <v>41</v>
      </c>
      <c r="CQ8" s="471"/>
      <c r="CR8" s="91" t="s">
        <v>41</v>
      </c>
      <c r="CS8" s="33"/>
      <c r="CT8" s="92" t="s">
        <v>41</v>
      </c>
      <c r="CU8" s="26"/>
      <c r="CV8" s="92" t="s">
        <v>41</v>
      </c>
      <c r="CW8" s="93"/>
      <c r="CX8" s="92" t="s">
        <v>41</v>
      </c>
      <c r="CY8" s="90" t="s">
        <v>44</v>
      </c>
    </row>
    <row r="9" spans="1:103" s="24" customFormat="1" x14ac:dyDescent="0.25">
      <c r="F9" s="28"/>
      <c r="G9" s="28"/>
      <c r="H9" s="28"/>
      <c r="I9" s="28"/>
      <c r="J9" s="28"/>
      <c r="K9" s="28"/>
      <c r="L9" s="57"/>
      <c r="M9" s="28"/>
      <c r="N9" s="28"/>
      <c r="O9" s="28"/>
      <c r="P9" s="28"/>
      <c r="Q9" s="28"/>
      <c r="R9" s="28"/>
      <c r="S9" s="57"/>
      <c r="T9" s="28"/>
      <c r="U9" s="28"/>
      <c r="V9" s="28"/>
      <c r="W9" s="28"/>
      <c r="X9" s="28"/>
      <c r="Y9" s="28"/>
      <c r="Z9" s="82"/>
      <c r="AK9" s="37"/>
      <c r="AL9" s="23"/>
      <c r="AN9" s="23"/>
      <c r="AO9" s="23"/>
      <c r="AP9" s="23"/>
      <c r="AQ9" s="23"/>
      <c r="AR9" s="58"/>
      <c r="AS9" s="58"/>
      <c r="AT9" s="58"/>
      <c r="AU9" s="37"/>
      <c r="AV9" s="58"/>
      <c r="AW9" s="58"/>
      <c r="AX9" s="58"/>
      <c r="AY9" s="58"/>
      <c r="AZ9" s="58"/>
      <c r="BA9" s="88"/>
      <c r="BL9" s="37"/>
      <c r="BM9" s="28"/>
      <c r="BN9" s="28"/>
      <c r="BO9" s="28"/>
      <c r="BP9" s="28"/>
      <c r="BQ9" s="28"/>
      <c r="BR9" s="28"/>
      <c r="BU9" s="37"/>
      <c r="BV9" s="28"/>
      <c r="BW9" s="28"/>
      <c r="BX9" s="28"/>
      <c r="BY9" s="28"/>
      <c r="BZ9" s="28"/>
      <c r="CA9" s="28"/>
      <c r="CB9" s="28"/>
      <c r="CC9" s="57"/>
      <c r="CD9" s="486"/>
      <c r="CE9" s="486"/>
      <c r="CF9" s="241"/>
      <c r="CG9" s="22"/>
      <c r="CH9" s="437"/>
      <c r="CI9" s="486"/>
      <c r="CJ9" s="486"/>
      <c r="CK9" s="241"/>
      <c r="CL9" s="421"/>
      <c r="CM9" s="433"/>
      <c r="CN9" s="486"/>
      <c r="CO9" s="241"/>
      <c r="CP9" s="234"/>
      <c r="CQ9" s="237"/>
      <c r="CR9" s="22"/>
      <c r="CS9" s="22"/>
      <c r="CT9" s="22"/>
      <c r="CU9" s="23"/>
      <c r="CV9" s="38"/>
      <c r="CW9" s="59"/>
      <c r="CX9" s="38"/>
      <c r="CY9" s="38"/>
    </row>
    <row r="10" spans="1:103" x14ac:dyDescent="0.25">
      <c r="A10" s="311">
        <v>85</v>
      </c>
      <c r="B10" s="311" t="s">
        <v>178</v>
      </c>
      <c r="C10" s="311" t="s">
        <v>179</v>
      </c>
      <c r="D10" s="311" t="s">
        <v>180</v>
      </c>
      <c r="E10" s="311" t="s">
        <v>181</v>
      </c>
      <c r="F10" s="40">
        <v>6.9</v>
      </c>
      <c r="G10" s="40">
        <v>6.9</v>
      </c>
      <c r="H10" s="40">
        <v>6.9</v>
      </c>
      <c r="I10" s="40">
        <v>7.2</v>
      </c>
      <c r="J10" s="40">
        <v>9</v>
      </c>
      <c r="K10" s="43">
        <f>SUM((F10*0.3),(G10*0.25),(H10*0.25),(I10*0.15),(J10*0.05))</f>
        <v>7.05</v>
      </c>
      <c r="L10" s="51"/>
      <c r="M10" s="40">
        <v>8</v>
      </c>
      <c r="N10" s="40">
        <v>6.5</v>
      </c>
      <c r="O10" s="40">
        <v>7.5</v>
      </c>
      <c r="P10" s="40">
        <v>7.5</v>
      </c>
      <c r="Q10" s="40">
        <v>7.5</v>
      </c>
      <c r="R10" s="43">
        <f>SUM((M10*0.3),(N10*0.25),(O10*0.25),(P10*0.15),(Q10*0.05))</f>
        <v>7.4</v>
      </c>
      <c r="S10" s="51"/>
      <c r="T10" s="40">
        <v>7.3</v>
      </c>
      <c r="U10" s="40">
        <v>7</v>
      </c>
      <c r="V10" s="40">
        <v>7.5</v>
      </c>
      <c r="W10" s="40">
        <v>8</v>
      </c>
      <c r="X10" s="40">
        <v>8</v>
      </c>
      <c r="Y10" s="43">
        <f>SUM((T10*0.3),(U10*0.25),(V10*0.25),(W10*0.15),(X10*0.05))</f>
        <v>7.415</v>
      </c>
      <c r="Z10" s="100"/>
      <c r="AA10" s="40">
        <v>5.5</v>
      </c>
      <c r="AB10" s="40">
        <v>6</v>
      </c>
      <c r="AC10" s="40">
        <v>7.5</v>
      </c>
      <c r="AD10" s="40">
        <v>6</v>
      </c>
      <c r="AE10" s="40">
        <v>6</v>
      </c>
      <c r="AF10" s="40">
        <v>8</v>
      </c>
      <c r="AG10" s="40">
        <v>8</v>
      </c>
      <c r="AH10" s="40">
        <v>7.5</v>
      </c>
      <c r="AI10" s="44">
        <f>SUM(AA10:AH10)</f>
        <v>54.5</v>
      </c>
      <c r="AJ10" s="43">
        <f>AI10/8</f>
        <v>6.8125</v>
      </c>
      <c r="AK10" s="50"/>
      <c r="AL10" s="60">
        <v>5.5</v>
      </c>
      <c r="AM10" s="60">
        <v>6.4</v>
      </c>
      <c r="AN10" s="60">
        <v>5.5</v>
      </c>
      <c r="AO10" s="60">
        <v>6.7</v>
      </c>
      <c r="AP10" s="60">
        <v>7</v>
      </c>
      <c r="AQ10" s="44">
        <f>SUM(AL10:AP10)</f>
        <v>31.099999999999998</v>
      </c>
      <c r="AR10" s="60">
        <v>8.2200000000000006</v>
      </c>
      <c r="AS10" s="68">
        <f>SUM(AQ10+AR10)</f>
        <v>39.32</v>
      </c>
      <c r="AT10" s="69">
        <f>AS10/6</f>
        <v>6.5533333333333337</v>
      </c>
      <c r="AU10" s="45"/>
      <c r="AV10" s="60">
        <v>7.4</v>
      </c>
      <c r="AW10" s="60"/>
      <c r="AX10" s="68">
        <f>AV10-AW10</f>
        <v>7.4</v>
      </c>
      <c r="AY10" s="60">
        <v>7</v>
      </c>
      <c r="AZ10" s="69">
        <f>SUM(AX10*0.7+AY10*0.3)</f>
        <v>7.2799999999999994</v>
      </c>
      <c r="BA10" s="101"/>
      <c r="BB10" s="40">
        <v>6</v>
      </c>
      <c r="BC10" s="40">
        <v>6.7</v>
      </c>
      <c r="BD10" s="40">
        <v>7</v>
      </c>
      <c r="BE10" s="40">
        <v>6.7</v>
      </c>
      <c r="BF10" s="40">
        <v>6.5</v>
      </c>
      <c r="BG10" s="40">
        <v>8.5</v>
      </c>
      <c r="BH10" s="40">
        <v>7.5</v>
      </c>
      <c r="BI10" s="40">
        <v>8</v>
      </c>
      <c r="BJ10" s="44">
        <f>SUM(BB10:BI10)</f>
        <v>56.9</v>
      </c>
      <c r="BK10" s="43">
        <f>BJ10/8</f>
        <v>7.1124999999999998</v>
      </c>
      <c r="BL10" s="50"/>
      <c r="BM10" s="40">
        <v>4.7</v>
      </c>
      <c r="BN10" s="40">
        <v>6.5</v>
      </c>
      <c r="BO10" s="40">
        <v>5</v>
      </c>
      <c r="BP10" s="103"/>
      <c r="BQ10" s="103"/>
      <c r="BR10" s="43">
        <f>SUM((BM10*0.4),(BN10*0.3),(BO10*0.3))</f>
        <v>5.33</v>
      </c>
      <c r="BS10" s="41"/>
      <c r="BT10" s="43">
        <f>BR10-BS10</f>
        <v>5.33</v>
      </c>
      <c r="BU10" s="51"/>
      <c r="BV10" s="40">
        <v>9</v>
      </c>
      <c r="BW10" s="40">
        <v>8</v>
      </c>
      <c r="BX10" s="40">
        <v>8</v>
      </c>
      <c r="BY10" s="40">
        <v>8</v>
      </c>
      <c r="BZ10" s="40">
        <v>7.5</v>
      </c>
      <c r="CA10" s="40"/>
      <c r="CB10" s="102">
        <f>SUM((BV10*0.2),(BW10*0.15),(BX10*0.25),(BY10*0.2),(BZ10*0.2))-CA10</f>
        <v>8.1</v>
      </c>
      <c r="CC10" s="45"/>
      <c r="CD10" s="240">
        <f>K10</f>
        <v>7.05</v>
      </c>
      <c r="CE10" s="236">
        <f>AJ10</f>
        <v>6.8125</v>
      </c>
      <c r="CF10" s="242">
        <f>BK10</f>
        <v>7.1124999999999998</v>
      </c>
      <c r="CG10" s="48">
        <f>CR10</f>
        <v>6.984375</v>
      </c>
      <c r="CH10" s="438"/>
      <c r="CI10" s="240">
        <f>R10</f>
        <v>7.4</v>
      </c>
      <c r="CJ10" s="236">
        <f>AT10</f>
        <v>6.5533333333333337</v>
      </c>
      <c r="CK10" s="242">
        <f>BT10</f>
        <v>5.33</v>
      </c>
      <c r="CL10" s="427">
        <f>CT10</f>
        <v>6.4591666666666665</v>
      </c>
      <c r="CM10" s="435">
        <f>Y10</f>
        <v>7.415</v>
      </c>
      <c r="CN10" s="236">
        <f>AZ10</f>
        <v>7.2799999999999994</v>
      </c>
      <c r="CO10" s="242">
        <f>CB10</f>
        <v>8.1</v>
      </c>
      <c r="CP10" s="427">
        <f>CV11</f>
        <v>6.9649999999999999</v>
      </c>
      <c r="CQ10" s="420"/>
      <c r="CR10" s="46">
        <f>SUM((K10*0.25)+(AJ10*0.375)+(BK10*0.375))</f>
        <v>6.984375</v>
      </c>
      <c r="CS10" s="46"/>
      <c r="CT10" s="46">
        <f>SUM((R10*0.25),(AT10*0.5),(BT10*0.25))</f>
        <v>6.4591666666666665</v>
      </c>
      <c r="CU10" s="47"/>
      <c r="CV10" s="46">
        <f>SUM((Y10*0.25),(CB10*0.25),(AZ10*0.5))</f>
        <v>7.5187499999999998</v>
      </c>
      <c r="CW10" s="26"/>
      <c r="CX10" s="94">
        <f>AVERAGE(CR10:CV10)</f>
        <v>6.9874305555555551</v>
      </c>
      <c r="CY10" s="61">
        <v>1</v>
      </c>
    </row>
    <row r="11" spans="1:103" x14ac:dyDescent="0.25">
      <c r="A11" s="311">
        <v>87</v>
      </c>
      <c r="B11" s="311" t="s">
        <v>126</v>
      </c>
      <c r="C11" s="311" t="s">
        <v>130</v>
      </c>
      <c r="D11" s="311" t="s">
        <v>131</v>
      </c>
      <c r="E11" s="311" t="s">
        <v>132</v>
      </c>
      <c r="F11" s="40">
        <v>7</v>
      </c>
      <c r="G11" s="40">
        <v>7</v>
      </c>
      <c r="H11" s="40">
        <v>7.3</v>
      </c>
      <c r="I11" s="40">
        <v>7.5</v>
      </c>
      <c r="J11" s="40">
        <v>8.8000000000000007</v>
      </c>
      <c r="K11" s="43">
        <f>SUM((F11*0.3),(G11*0.25),(H11*0.25),(I11*0.15),(J11*0.05))</f>
        <v>7.24</v>
      </c>
      <c r="L11" s="51"/>
      <c r="M11" s="40">
        <v>7</v>
      </c>
      <c r="N11" s="40">
        <v>6.5</v>
      </c>
      <c r="O11" s="40">
        <v>7</v>
      </c>
      <c r="P11" s="40">
        <v>6.5</v>
      </c>
      <c r="Q11" s="40">
        <v>8</v>
      </c>
      <c r="R11" s="43">
        <f>SUM((M11*0.3),(N11*0.25),(O11*0.25),(P11*0.15),(Q11*0.05))</f>
        <v>6.85</v>
      </c>
      <c r="S11" s="51"/>
      <c r="T11" s="40">
        <v>7.3</v>
      </c>
      <c r="U11" s="40">
        <v>7.5</v>
      </c>
      <c r="V11" s="40">
        <v>7.5</v>
      </c>
      <c r="W11" s="40">
        <v>7.5</v>
      </c>
      <c r="X11" s="40">
        <v>8</v>
      </c>
      <c r="Y11" s="43">
        <f>SUM((T11*0.3),(U11*0.25),(V11*0.25),(W11*0.15),(X11*0.05))</f>
        <v>7.4649999999999999</v>
      </c>
      <c r="Z11" s="100"/>
      <c r="AA11" s="40">
        <v>5.5</v>
      </c>
      <c r="AB11" s="40">
        <v>7</v>
      </c>
      <c r="AC11" s="40">
        <v>6.2</v>
      </c>
      <c r="AD11" s="40">
        <v>7.5</v>
      </c>
      <c r="AE11" s="40">
        <v>6.5</v>
      </c>
      <c r="AF11" s="40">
        <v>8</v>
      </c>
      <c r="AG11" s="40">
        <v>7.5</v>
      </c>
      <c r="AH11" s="40">
        <v>7</v>
      </c>
      <c r="AI11" s="44">
        <f>SUM(AA11:AH11)</f>
        <v>55.2</v>
      </c>
      <c r="AJ11" s="43">
        <f>AI11/8</f>
        <v>6.9</v>
      </c>
      <c r="AK11" s="50"/>
      <c r="AL11" s="60">
        <v>3</v>
      </c>
      <c r="AM11" s="60">
        <v>6</v>
      </c>
      <c r="AN11" s="60">
        <v>4.5</v>
      </c>
      <c r="AO11" s="60">
        <v>6</v>
      </c>
      <c r="AP11" s="60">
        <v>6</v>
      </c>
      <c r="AQ11" s="44">
        <f>SUM(AL11:AP11)</f>
        <v>25.5</v>
      </c>
      <c r="AR11" s="60">
        <v>7</v>
      </c>
      <c r="AS11" s="68">
        <f>SUM(AQ11+AR11)</f>
        <v>32.5</v>
      </c>
      <c r="AT11" s="69">
        <f>AS11/6</f>
        <v>5.416666666666667</v>
      </c>
      <c r="AU11" s="45"/>
      <c r="AV11" s="60">
        <v>7.3</v>
      </c>
      <c r="AW11" s="60"/>
      <c r="AX11" s="68">
        <f>AV11-AW11</f>
        <v>7.3</v>
      </c>
      <c r="AY11" s="60">
        <v>5</v>
      </c>
      <c r="AZ11" s="69">
        <f>SUM(AX11*0.7+AY11*0.3)</f>
        <v>6.6099999999999994</v>
      </c>
      <c r="BA11" s="101"/>
      <c r="BB11" s="40">
        <v>5.5</v>
      </c>
      <c r="BC11" s="40">
        <v>7.2</v>
      </c>
      <c r="BD11" s="40">
        <v>7</v>
      </c>
      <c r="BE11" s="40">
        <v>5</v>
      </c>
      <c r="BF11" s="40">
        <v>6.2</v>
      </c>
      <c r="BG11" s="40">
        <v>7.8</v>
      </c>
      <c r="BH11" s="40">
        <v>7.8</v>
      </c>
      <c r="BI11" s="40">
        <v>8</v>
      </c>
      <c r="BJ11" s="44">
        <f>SUM(BB11:BI11)</f>
        <v>54.499999999999993</v>
      </c>
      <c r="BK11" s="43">
        <f>BJ11/8</f>
        <v>6.8124999999999991</v>
      </c>
      <c r="BL11" s="50"/>
      <c r="BM11" s="40">
        <v>4</v>
      </c>
      <c r="BN11" s="40">
        <v>5.5</v>
      </c>
      <c r="BO11" s="40">
        <v>4.5</v>
      </c>
      <c r="BP11" s="103"/>
      <c r="BQ11" s="103"/>
      <c r="BR11" s="43">
        <f>SUM((BM11*0.4),(BN11*0.3),(BO11*0.3))</f>
        <v>4.5999999999999996</v>
      </c>
      <c r="BS11" s="41"/>
      <c r="BT11" s="43">
        <f>BR11-BS11</f>
        <v>4.5999999999999996</v>
      </c>
      <c r="BU11" s="51"/>
      <c r="BV11" s="40">
        <v>6.5</v>
      </c>
      <c r="BW11" s="40">
        <v>8</v>
      </c>
      <c r="BX11" s="40">
        <v>7.5</v>
      </c>
      <c r="BY11" s="40">
        <v>7</v>
      </c>
      <c r="BZ11" s="40">
        <v>7</v>
      </c>
      <c r="CA11" s="40"/>
      <c r="CB11" s="102">
        <f>SUM((BV11*0.2),(BW11*0.15),(BX11*0.25),(BY11*0.2),(BZ11*0.2))-CA11</f>
        <v>7.1750000000000007</v>
      </c>
      <c r="CC11" s="45"/>
      <c r="CD11" s="240">
        <f>K11</f>
        <v>7.24</v>
      </c>
      <c r="CE11" s="236">
        <f>AJ11</f>
        <v>6.9</v>
      </c>
      <c r="CF11" s="242">
        <f>BK11</f>
        <v>6.8124999999999991</v>
      </c>
      <c r="CG11" s="48">
        <f>CR11</f>
        <v>6.9521875000000009</v>
      </c>
      <c r="CH11" s="438"/>
      <c r="CI11" s="240">
        <f>R11</f>
        <v>6.85</v>
      </c>
      <c r="CJ11" s="236">
        <f>AT11</f>
        <v>5.416666666666667</v>
      </c>
      <c r="CK11" s="242">
        <f>BT11</f>
        <v>4.5999999999999996</v>
      </c>
      <c r="CL11" s="427">
        <f>CT11</f>
        <v>5.5708333333333329</v>
      </c>
      <c r="CM11" s="435">
        <f>Y11</f>
        <v>7.4649999999999999</v>
      </c>
      <c r="CN11" s="236">
        <f>AZ11</f>
        <v>6.6099999999999994</v>
      </c>
      <c r="CO11" s="242">
        <f>CB11</f>
        <v>7.1750000000000007</v>
      </c>
      <c r="CP11" s="427">
        <f>CV11</f>
        <v>6.9649999999999999</v>
      </c>
      <c r="CQ11" s="420"/>
      <c r="CR11" s="46">
        <f>SUM((K11*0.25)+(AJ11*0.375)+(BK11*0.375))</f>
        <v>6.9521875000000009</v>
      </c>
      <c r="CS11" s="46"/>
      <c r="CT11" s="46">
        <f>SUM((R11*0.25),(AT11*0.5),(BT11*0.25))</f>
        <v>5.5708333333333329</v>
      </c>
      <c r="CU11" s="47"/>
      <c r="CV11" s="46">
        <f>SUM((Y11*0.25),(CB11*0.25),(AZ11*0.5))</f>
        <v>6.9649999999999999</v>
      </c>
      <c r="CW11" s="26"/>
      <c r="CX11" s="94">
        <f>AVERAGE(CR11:CV11)</f>
        <v>6.4960069444444448</v>
      </c>
      <c r="CY11" s="61">
        <v>2</v>
      </c>
    </row>
    <row r="12" spans="1:103" x14ac:dyDescent="0.25">
      <c r="C12" s="95"/>
      <c r="AB12" s="23"/>
      <c r="BC12" s="23"/>
      <c r="CD12" s="486"/>
      <c r="CE12" s="486"/>
      <c r="CF12" s="486"/>
      <c r="CI12" s="486"/>
      <c r="CJ12" s="486"/>
      <c r="CK12" s="486"/>
      <c r="CL12" s="486"/>
      <c r="CM12" s="486"/>
      <c r="CN12" s="486"/>
      <c r="CO12" s="486"/>
      <c r="CP12" s="486"/>
      <c r="CQ12" s="486"/>
    </row>
    <row r="13" spans="1:103" x14ac:dyDescent="0.25">
      <c r="CD13" s="235"/>
      <c r="CE13" s="235"/>
      <c r="CF13" s="235"/>
      <c r="CI13" s="235"/>
      <c r="CJ13" s="235"/>
      <c r="CK13" s="235"/>
      <c r="CL13" s="235"/>
      <c r="CM13" s="235"/>
      <c r="CN13" s="235"/>
      <c r="CO13" s="235"/>
      <c r="CP13" s="235"/>
      <c r="CQ13" s="235"/>
    </row>
    <row r="16" spans="1:103" ht="18.75" x14ac:dyDescent="0.3">
      <c r="A16" s="96"/>
      <c r="B16" s="62"/>
      <c r="C16" s="62"/>
      <c r="D16" s="62"/>
      <c r="E16" s="97"/>
      <c r="F16" s="62"/>
    </row>
    <row r="17" spans="1:6" ht="18.75" x14ac:dyDescent="0.3">
      <c r="A17" s="96"/>
      <c r="B17" s="62"/>
      <c r="C17" s="98"/>
      <c r="D17" s="62"/>
      <c r="E17" s="99"/>
      <c r="F17" s="62"/>
    </row>
    <row r="18" spans="1:6" ht="18.75" x14ac:dyDescent="0.3">
      <c r="A18" s="62"/>
    </row>
    <row r="19" spans="1:6" ht="18.75" x14ac:dyDescent="0.3">
      <c r="A19" s="62"/>
    </row>
    <row r="20" spans="1:6" ht="18.75" x14ac:dyDescent="0.3">
      <c r="A20" s="62"/>
    </row>
    <row r="21" spans="1:6" ht="18.75" x14ac:dyDescent="0.3">
      <c r="A21" s="62"/>
      <c r="B21" s="63"/>
      <c r="C21" s="64"/>
      <c r="D21" s="63"/>
      <c r="E21" s="65"/>
      <c r="F21" s="65"/>
    </row>
  </sheetData>
  <sortState ref="A11:CY11">
    <sortCondition descending="1" ref="CX11"/>
  </sortState>
  <mergeCells count="4">
    <mergeCell ref="A3:B3"/>
    <mergeCell ref="CD6:CF6"/>
    <mergeCell ref="CI6:CK6"/>
    <mergeCell ref="CM6:CO6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D49"/>
  <sheetViews>
    <sheetView workbookViewId="0">
      <pane xSplit="2" topLeftCell="C1" activePane="topRight" state="frozen"/>
      <selection pane="topRight" activeCell="B5" sqref="B5"/>
    </sheetView>
  </sheetViews>
  <sheetFormatPr defaultColWidth="9.140625" defaultRowHeight="15" x14ac:dyDescent="0.25"/>
  <cols>
    <col min="1" max="1" width="5.42578125" style="156" customWidth="1"/>
    <col min="2" max="2" width="23.140625" style="156" customWidth="1"/>
    <col min="3" max="3" width="21" style="156" customWidth="1"/>
    <col min="4" max="4" width="15.28515625" style="156" customWidth="1"/>
    <col min="5" max="5" width="13.28515625" style="156" customWidth="1"/>
    <col min="6" max="11" width="7.7109375" style="156" customWidth="1"/>
    <col min="12" max="12" width="3.28515625" style="156" customWidth="1"/>
    <col min="13" max="18" width="7.7109375" style="156" customWidth="1"/>
    <col min="19" max="19" width="3.28515625" style="156" customWidth="1"/>
    <col min="20" max="25" width="7.7109375" style="156" customWidth="1"/>
    <col min="26" max="26" width="3.28515625" style="156" customWidth="1"/>
    <col min="27" max="36" width="7.7109375" style="156" customWidth="1"/>
    <col min="37" max="37" width="3.28515625" style="156" customWidth="1"/>
    <col min="38" max="41" width="7.28515625" style="156" customWidth="1"/>
    <col min="42" max="42" width="9.42578125" style="156" customWidth="1"/>
    <col min="43" max="43" width="2.7109375" style="156" customWidth="1"/>
    <col min="44" max="47" width="7.28515625" style="156" customWidth="1"/>
    <col min="48" max="48" width="9.42578125" style="156" customWidth="1"/>
    <col min="49" max="49" width="2.7109375" style="156" customWidth="1"/>
    <col min="50" max="59" width="7.7109375" style="156" customWidth="1"/>
    <col min="60" max="60" width="3.28515625" style="158" customWidth="1"/>
    <col min="61" max="68" width="7.7109375" style="156" customWidth="1"/>
    <col min="69" max="69" width="3.42578125" style="158" customWidth="1"/>
    <col min="70" max="77" width="7.7109375" style="156" customWidth="1"/>
    <col min="78" max="78" width="3.42578125" style="158" customWidth="1"/>
    <col min="79" max="81" width="7.7109375" style="233" customWidth="1"/>
    <col min="82" max="82" width="9.140625" style="156"/>
    <col min="83" max="83" width="3" style="156" customWidth="1"/>
    <col min="84" max="87" width="7.7109375" style="233" customWidth="1"/>
    <col min="88" max="88" width="3.140625" style="233" customWidth="1"/>
    <col min="89" max="92" width="7.7109375" style="233" customWidth="1"/>
    <col min="93" max="93" width="2.7109375" style="158" customWidth="1"/>
    <col min="94" max="97" width="9.140625" style="156"/>
    <col min="98" max="98" width="13.28515625" style="156" customWidth="1"/>
    <col min="99" max="16384" width="9.140625" style="156"/>
  </cols>
  <sheetData>
    <row r="1" spans="1:108" ht="15.75" x14ac:dyDescent="0.25">
      <c r="A1" s="515" t="str">
        <f>CompDetail!A1</f>
        <v>NSW State Championships</v>
      </c>
      <c r="B1" s="515"/>
      <c r="D1" s="157" t="s">
        <v>96</v>
      </c>
      <c r="E1" s="157" t="s">
        <v>257</v>
      </c>
      <c r="G1" s="158"/>
      <c r="H1" s="159"/>
      <c r="I1" s="159"/>
      <c r="J1" s="159"/>
      <c r="K1" s="159"/>
      <c r="L1" s="159"/>
      <c r="AA1" s="159"/>
      <c r="AB1" s="159"/>
      <c r="AC1" s="159"/>
      <c r="AD1" s="158"/>
      <c r="AH1" s="159"/>
      <c r="AI1" s="159"/>
      <c r="AJ1" s="159"/>
      <c r="AK1" s="159"/>
      <c r="AX1" s="159"/>
      <c r="AY1" s="159"/>
      <c r="AZ1" s="159"/>
      <c r="BA1" s="158"/>
      <c r="BE1" s="159"/>
      <c r="BF1" s="159"/>
      <c r="BG1" s="159"/>
      <c r="BH1" s="160"/>
      <c r="CT1" s="161">
        <f ca="1">NOW()</f>
        <v>43266.404079513886</v>
      </c>
    </row>
    <row r="2" spans="1:108" ht="15.75" x14ac:dyDescent="0.25">
      <c r="A2" s="162"/>
      <c r="D2" s="157"/>
      <c r="E2" s="157" t="s">
        <v>258</v>
      </c>
      <c r="G2" s="158"/>
      <c r="AD2" s="158"/>
      <c r="BA2" s="158"/>
      <c r="BH2" s="163"/>
      <c r="CT2" s="164">
        <f ca="1">NOW()</f>
        <v>43266.404079513886</v>
      </c>
    </row>
    <row r="3" spans="1:108" ht="15.75" x14ac:dyDescent="0.25">
      <c r="A3" s="513" t="str">
        <f>CompDetail!A3</f>
        <v>June 9 to 11 2018</v>
      </c>
      <c r="B3" s="514"/>
      <c r="D3" s="157"/>
      <c r="E3" s="157" t="s">
        <v>256</v>
      </c>
      <c r="F3" s="165"/>
      <c r="G3" s="166"/>
      <c r="H3" s="165"/>
      <c r="I3" s="166"/>
      <c r="J3" s="166"/>
      <c r="K3" s="166"/>
      <c r="L3" s="158"/>
      <c r="M3" s="167"/>
      <c r="N3" s="167"/>
      <c r="O3" s="167"/>
      <c r="P3" s="167"/>
      <c r="Q3" s="167"/>
      <c r="R3" s="167"/>
      <c r="S3" s="158"/>
      <c r="T3" s="167"/>
      <c r="U3" s="167"/>
      <c r="V3" s="167"/>
      <c r="W3" s="167"/>
      <c r="X3" s="167"/>
      <c r="Y3" s="167"/>
      <c r="Z3" s="158"/>
      <c r="AA3" s="165"/>
      <c r="AB3" s="166"/>
      <c r="AC3" s="166"/>
      <c r="AD3" s="166"/>
      <c r="AE3" s="166"/>
      <c r="AF3" s="166"/>
      <c r="AG3" s="166"/>
      <c r="AH3" s="166"/>
      <c r="AI3" s="166"/>
      <c r="AJ3" s="166"/>
      <c r="AK3" s="158"/>
      <c r="AL3" s="167"/>
      <c r="AM3" s="167"/>
      <c r="AN3" s="167"/>
      <c r="AO3" s="167"/>
      <c r="AP3" s="167"/>
      <c r="AQ3" s="158"/>
      <c r="AR3" s="167"/>
      <c r="AS3" s="167"/>
      <c r="AT3" s="167"/>
      <c r="AU3" s="167"/>
      <c r="AV3" s="167"/>
      <c r="AW3" s="158"/>
      <c r="AX3" s="165"/>
      <c r="AY3" s="166"/>
      <c r="AZ3" s="166"/>
      <c r="BA3" s="166"/>
      <c r="BB3" s="166"/>
      <c r="BC3" s="166"/>
      <c r="BD3" s="166"/>
      <c r="BE3" s="166"/>
      <c r="BF3" s="166"/>
      <c r="BG3" s="166"/>
      <c r="BI3" s="167"/>
      <c r="BJ3" s="167"/>
      <c r="BK3" s="167"/>
      <c r="BL3" s="167"/>
      <c r="BM3" s="167"/>
      <c r="BN3" s="167"/>
      <c r="BO3" s="167"/>
      <c r="BP3" s="167"/>
      <c r="BR3" s="167"/>
      <c r="BS3" s="167"/>
      <c r="BT3" s="167"/>
      <c r="BU3" s="167"/>
      <c r="BV3" s="167"/>
      <c r="BW3" s="167"/>
      <c r="BX3" s="167"/>
      <c r="BY3" s="167"/>
    </row>
    <row r="4" spans="1:108" ht="15.75" x14ac:dyDescent="0.25">
      <c r="A4" s="168"/>
      <c r="B4" s="169"/>
      <c r="D4" s="157"/>
      <c r="E4" s="157"/>
      <c r="F4" s="170" t="s">
        <v>31</v>
      </c>
      <c r="G4" s="171"/>
      <c r="H4" s="170"/>
      <c r="I4" s="171"/>
      <c r="J4" s="171"/>
      <c r="K4" s="171"/>
      <c r="M4" s="172" t="s">
        <v>216</v>
      </c>
      <c r="N4" s="172"/>
      <c r="O4" s="172"/>
      <c r="P4" s="172"/>
      <c r="Q4" s="172"/>
      <c r="R4" s="172"/>
      <c r="T4" s="172" t="s">
        <v>217</v>
      </c>
      <c r="U4" s="172"/>
      <c r="V4" s="172"/>
      <c r="W4" s="172"/>
      <c r="X4" s="172"/>
      <c r="Y4" s="172"/>
      <c r="AA4" s="170" t="s">
        <v>31</v>
      </c>
      <c r="AB4" s="171"/>
      <c r="AC4" s="171"/>
      <c r="AD4" s="171"/>
      <c r="AE4" s="171"/>
      <c r="AF4" s="171"/>
      <c r="AG4" s="171"/>
      <c r="AH4" s="171"/>
      <c r="AI4" s="171"/>
      <c r="AJ4" s="171"/>
      <c r="AL4" s="172" t="s">
        <v>216</v>
      </c>
      <c r="AM4" s="172"/>
      <c r="AN4" s="172"/>
      <c r="AO4" s="172"/>
      <c r="AP4" s="172"/>
      <c r="AR4" s="172" t="s">
        <v>217</v>
      </c>
      <c r="AS4" s="172"/>
      <c r="AT4" s="172"/>
      <c r="AU4" s="172"/>
      <c r="AV4" s="172"/>
      <c r="AX4" s="170" t="s">
        <v>31</v>
      </c>
      <c r="AY4" s="171"/>
      <c r="AZ4" s="171"/>
      <c r="BA4" s="171"/>
      <c r="BB4" s="171"/>
      <c r="BC4" s="171"/>
      <c r="BD4" s="171"/>
      <c r="BE4" s="171"/>
      <c r="BF4" s="171"/>
      <c r="BG4" s="171"/>
      <c r="BI4" s="172" t="s">
        <v>216</v>
      </c>
      <c r="BJ4" s="172"/>
      <c r="BK4" s="172"/>
      <c r="BL4" s="172"/>
      <c r="BM4" s="172"/>
      <c r="BN4" s="172"/>
      <c r="BO4" s="172"/>
      <c r="BP4" s="172"/>
      <c r="BR4" s="172" t="s">
        <v>217</v>
      </c>
      <c r="BS4" s="172"/>
      <c r="BT4" s="172"/>
      <c r="BU4" s="172"/>
      <c r="BV4" s="172"/>
      <c r="BW4" s="172"/>
      <c r="BX4" s="172"/>
      <c r="BY4" s="172"/>
    </row>
    <row r="5" spans="1:108" ht="15.75" x14ac:dyDescent="0.25">
      <c r="A5" s="162"/>
      <c r="D5" s="157"/>
      <c r="G5" s="158"/>
      <c r="AD5" s="158"/>
      <c r="BA5" s="158"/>
    </row>
    <row r="6" spans="1:108" ht="15.75" x14ac:dyDescent="0.25">
      <c r="A6" s="155" t="s">
        <v>97</v>
      </c>
      <c r="B6" s="173"/>
      <c r="F6" s="173" t="s">
        <v>58</v>
      </c>
      <c r="G6" s="158" t="str">
        <f>E1</f>
        <v>A Deeks</v>
      </c>
      <c r="I6" s="173"/>
      <c r="M6" s="173" t="s">
        <v>58</v>
      </c>
      <c r="N6" s="156" t="s">
        <v>258</v>
      </c>
      <c r="T6" s="173" t="s">
        <v>58</v>
      </c>
      <c r="U6" s="156" t="s">
        <v>256</v>
      </c>
      <c r="AA6" s="173" t="s">
        <v>57</v>
      </c>
      <c r="AB6" s="156" t="str">
        <f>E2</f>
        <v>J Scott</v>
      </c>
      <c r="AD6" s="158"/>
      <c r="AL6" s="173" t="s">
        <v>57</v>
      </c>
      <c r="AM6" s="156" t="s">
        <v>256</v>
      </c>
      <c r="AN6" s="173"/>
      <c r="AO6" s="173"/>
      <c r="AR6" s="173" t="s">
        <v>57</v>
      </c>
      <c r="AS6" s="156" t="s">
        <v>257</v>
      </c>
      <c r="AT6" s="173"/>
      <c r="AU6" s="173"/>
      <c r="AX6" s="173" t="s">
        <v>59</v>
      </c>
      <c r="AY6" s="156" t="str">
        <f>E3</f>
        <v>R Bruderer</v>
      </c>
      <c r="BA6" s="158"/>
      <c r="BI6" s="173" t="s">
        <v>59</v>
      </c>
      <c r="BJ6" s="156" t="s">
        <v>257</v>
      </c>
      <c r="BO6" s="173"/>
      <c r="BP6" s="173"/>
      <c r="BR6" s="173" t="s">
        <v>59</v>
      </c>
      <c r="BS6" s="156" t="s">
        <v>258</v>
      </c>
      <c r="BX6" s="173"/>
      <c r="BY6" s="173"/>
    </row>
    <row r="7" spans="1:108" ht="15.75" x14ac:dyDescent="0.25">
      <c r="A7" s="162" t="s">
        <v>64</v>
      </c>
      <c r="B7" s="174" t="s">
        <v>249</v>
      </c>
      <c r="G7" s="158"/>
      <c r="AD7" s="158"/>
      <c r="AQ7" s="158"/>
      <c r="AW7" s="158"/>
      <c r="BA7" s="158"/>
      <c r="CA7" s="512" t="s">
        <v>31</v>
      </c>
      <c r="CB7" s="512"/>
      <c r="CC7" s="512"/>
      <c r="CD7" s="173"/>
      <c r="CE7" s="173"/>
      <c r="CF7" s="512" t="s">
        <v>218</v>
      </c>
      <c r="CG7" s="512"/>
      <c r="CH7" s="512"/>
      <c r="CI7" s="486"/>
      <c r="CJ7" s="486"/>
      <c r="CK7" s="512" t="s">
        <v>219</v>
      </c>
      <c r="CL7" s="512"/>
      <c r="CM7" s="512"/>
      <c r="CN7" s="486"/>
      <c r="CO7" s="178"/>
      <c r="CP7" s="173" t="s">
        <v>21</v>
      </c>
    </row>
    <row r="8" spans="1:108" x14ac:dyDescent="0.25">
      <c r="F8" s="173" t="s">
        <v>35</v>
      </c>
      <c r="K8" s="159"/>
      <c r="L8" s="175"/>
      <c r="M8" s="176" t="s">
        <v>35</v>
      </c>
      <c r="N8" s="177"/>
      <c r="O8" s="177"/>
      <c r="P8" s="177"/>
      <c r="Q8" s="176"/>
      <c r="S8" s="158"/>
      <c r="T8" s="176" t="s">
        <v>35</v>
      </c>
      <c r="U8" s="177"/>
      <c r="V8" s="177"/>
      <c r="W8" s="177"/>
      <c r="X8" s="176"/>
      <c r="Z8" s="158"/>
      <c r="AB8" s="159"/>
      <c r="AC8" s="159"/>
      <c r="AD8" s="159"/>
      <c r="AE8" s="159"/>
      <c r="AF8" s="159"/>
      <c r="AG8" s="159"/>
      <c r="AH8" s="159"/>
      <c r="AI8" s="159"/>
      <c r="AJ8" s="159"/>
      <c r="AK8" s="175"/>
      <c r="AL8" s="173"/>
      <c r="AM8" s="156" t="s">
        <v>19</v>
      </c>
      <c r="AN8" s="177" t="s">
        <v>45</v>
      </c>
      <c r="AO8" s="173"/>
      <c r="AP8" s="156" t="s">
        <v>22</v>
      </c>
      <c r="AQ8" s="158"/>
      <c r="AR8" s="173"/>
      <c r="AS8" s="156" t="s">
        <v>19</v>
      </c>
      <c r="AT8" s="177" t="s">
        <v>45</v>
      </c>
      <c r="AU8" s="173"/>
      <c r="AV8" s="156" t="s">
        <v>22</v>
      </c>
      <c r="AW8" s="158"/>
      <c r="AY8" s="159"/>
      <c r="AZ8" s="159"/>
      <c r="BA8" s="159"/>
      <c r="BB8" s="159"/>
      <c r="BC8" s="159"/>
      <c r="BD8" s="159"/>
      <c r="BE8" s="159"/>
      <c r="BF8" s="159"/>
      <c r="BG8" s="159"/>
      <c r="BP8" s="156" t="s">
        <v>56</v>
      </c>
      <c r="BQ8" s="178"/>
      <c r="BY8" s="156" t="s">
        <v>56</v>
      </c>
      <c r="BZ8" s="178"/>
      <c r="CC8" s="280"/>
      <c r="CD8" s="173"/>
      <c r="CE8" s="428"/>
      <c r="CH8" s="280"/>
      <c r="CI8" s="426"/>
      <c r="CJ8" s="419"/>
      <c r="CN8" s="469"/>
      <c r="CO8" s="178"/>
      <c r="CS8" s="179" t="s">
        <v>63</v>
      </c>
      <c r="CT8" s="180"/>
    </row>
    <row r="9" spans="1:108" s="177" customFormat="1" x14ac:dyDescent="0.25">
      <c r="A9" s="181" t="s">
        <v>33</v>
      </c>
      <c r="B9" s="181" t="s">
        <v>34</v>
      </c>
      <c r="C9" s="181" t="s">
        <v>35</v>
      </c>
      <c r="D9" s="181" t="s">
        <v>36</v>
      </c>
      <c r="E9" s="181" t="s">
        <v>37</v>
      </c>
      <c r="F9" s="182" t="s">
        <v>7</v>
      </c>
      <c r="G9" s="182" t="s">
        <v>8</v>
      </c>
      <c r="H9" s="182" t="s">
        <v>9</v>
      </c>
      <c r="I9" s="182" t="s">
        <v>10</v>
      </c>
      <c r="J9" s="182" t="s">
        <v>11</v>
      </c>
      <c r="K9" s="182" t="s">
        <v>35</v>
      </c>
      <c r="L9" s="183"/>
      <c r="M9" s="182" t="s">
        <v>7</v>
      </c>
      <c r="N9" s="182" t="s">
        <v>8</v>
      </c>
      <c r="O9" s="182" t="s">
        <v>9</v>
      </c>
      <c r="P9" s="182" t="s">
        <v>10</v>
      </c>
      <c r="Q9" s="182" t="s">
        <v>11</v>
      </c>
      <c r="R9" s="182" t="s">
        <v>35</v>
      </c>
      <c r="S9" s="184"/>
      <c r="T9" s="182" t="s">
        <v>7</v>
      </c>
      <c r="U9" s="182" t="s">
        <v>8</v>
      </c>
      <c r="V9" s="182" t="s">
        <v>9</v>
      </c>
      <c r="W9" s="182" t="s">
        <v>10</v>
      </c>
      <c r="X9" s="182" t="s">
        <v>11</v>
      </c>
      <c r="Y9" s="182" t="s">
        <v>35</v>
      </c>
      <c r="Z9" s="184"/>
      <c r="AA9" s="181" t="s">
        <v>38</v>
      </c>
      <c r="AB9" s="181" t="s">
        <v>39</v>
      </c>
      <c r="AC9" s="181" t="s">
        <v>51</v>
      </c>
      <c r="AD9" s="185" t="s">
        <v>98</v>
      </c>
      <c r="AE9" s="186" t="s">
        <v>50</v>
      </c>
      <c r="AF9" s="186" t="s">
        <v>49</v>
      </c>
      <c r="AG9" s="185" t="s">
        <v>99</v>
      </c>
      <c r="AH9" s="185" t="s">
        <v>100</v>
      </c>
      <c r="AI9" s="181" t="s">
        <v>47</v>
      </c>
      <c r="AJ9" s="181" t="s">
        <v>46</v>
      </c>
      <c r="AK9" s="183"/>
      <c r="AL9" s="185" t="s">
        <v>45</v>
      </c>
      <c r="AM9" s="185" t="s">
        <v>80</v>
      </c>
      <c r="AN9" s="185" t="s">
        <v>60</v>
      </c>
      <c r="AO9" s="185" t="s">
        <v>6</v>
      </c>
      <c r="AP9" s="187" t="s">
        <v>24</v>
      </c>
      <c r="AQ9" s="188"/>
      <c r="AR9" s="185" t="s">
        <v>45</v>
      </c>
      <c r="AS9" s="185" t="s">
        <v>80</v>
      </c>
      <c r="AT9" s="185" t="s">
        <v>60</v>
      </c>
      <c r="AU9" s="185" t="s">
        <v>6</v>
      </c>
      <c r="AV9" s="187" t="s">
        <v>24</v>
      </c>
      <c r="AW9" s="188"/>
      <c r="AX9" s="181" t="s">
        <v>38</v>
      </c>
      <c r="AY9" s="181" t="s">
        <v>39</v>
      </c>
      <c r="AZ9" s="181" t="s">
        <v>51</v>
      </c>
      <c r="BA9" s="185" t="s">
        <v>98</v>
      </c>
      <c r="BB9" s="186" t="s">
        <v>50</v>
      </c>
      <c r="BC9" s="186" t="s">
        <v>49</v>
      </c>
      <c r="BD9" s="185" t="s">
        <v>99</v>
      </c>
      <c r="BE9" s="185" t="s">
        <v>100</v>
      </c>
      <c r="BF9" s="181" t="s">
        <v>47</v>
      </c>
      <c r="BG9" s="181" t="s">
        <v>46</v>
      </c>
      <c r="BH9" s="183"/>
      <c r="BI9" s="182" t="s">
        <v>12</v>
      </c>
      <c r="BJ9" s="182" t="s">
        <v>13</v>
      </c>
      <c r="BK9" s="182" t="s">
        <v>14</v>
      </c>
      <c r="BL9" s="182" t="s">
        <v>15</v>
      </c>
      <c r="BM9" s="182" t="s">
        <v>16</v>
      </c>
      <c r="BN9" s="182" t="s">
        <v>42</v>
      </c>
      <c r="BO9" s="181" t="s">
        <v>30</v>
      </c>
      <c r="BP9" s="181" t="s">
        <v>24</v>
      </c>
      <c r="BQ9" s="183"/>
      <c r="BR9" s="182" t="s">
        <v>12</v>
      </c>
      <c r="BS9" s="182" t="s">
        <v>13</v>
      </c>
      <c r="BT9" s="182" t="s">
        <v>14</v>
      </c>
      <c r="BU9" s="182" t="s">
        <v>15</v>
      </c>
      <c r="BV9" s="182" t="s">
        <v>16</v>
      </c>
      <c r="BW9" s="182" t="s">
        <v>42</v>
      </c>
      <c r="BX9" s="181" t="s">
        <v>30</v>
      </c>
      <c r="BY9" s="181" t="s">
        <v>24</v>
      </c>
      <c r="BZ9" s="183"/>
      <c r="CA9" s="486" t="s">
        <v>101</v>
      </c>
      <c r="CB9" s="486" t="s">
        <v>102</v>
      </c>
      <c r="CC9" s="241" t="s">
        <v>103</v>
      </c>
      <c r="CD9" s="190" t="s">
        <v>17</v>
      </c>
      <c r="CE9" s="429"/>
      <c r="CF9" s="486" t="s">
        <v>101</v>
      </c>
      <c r="CG9" s="486" t="s">
        <v>102</v>
      </c>
      <c r="CH9" s="241" t="s">
        <v>103</v>
      </c>
      <c r="CI9" s="421" t="s">
        <v>220</v>
      </c>
      <c r="CJ9" s="237"/>
      <c r="CK9" s="486" t="s">
        <v>101</v>
      </c>
      <c r="CL9" s="486" t="s">
        <v>102</v>
      </c>
      <c r="CM9" s="486" t="s">
        <v>103</v>
      </c>
      <c r="CN9" s="470" t="s">
        <v>273</v>
      </c>
      <c r="CO9" s="184"/>
      <c r="CP9" s="190" t="s">
        <v>17</v>
      </c>
      <c r="CQ9" s="190" t="s">
        <v>266</v>
      </c>
      <c r="CR9" s="190" t="s">
        <v>265</v>
      </c>
      <c r="CS9" s="190" t="s">
        <v>41</v>
      </c>
      <c r="CT9" s="190" t="s">
        <v>44</v>
      </c>
      <c r="CU9" s="181"/>
      <c r="CV9" s="181"/>
      <c r="CW9" s="181"/>
      <c r="CX9" s="181"/>
      <c r="CY9" s="181"/>
      <c r="CZ9" s="181"/>
      <c r="DA9" s="181"/>
      <c r="DB9" s="181"/>
      <c r="DC9" s="181"/>
      <c r="DD9" s="181"/>
    </row>
    <row r="10" spans="1:108" s="177" customFormat="1" x14ac:dyDescent="0.25">
      <c r="F10" s="180"/>
      <c r="G10" s="180"/>
      <c r="H10" s="180"/>
      <c r="I10" s="180"/>
      <c r="J10" s="180"/>
      <c r="K10" s="180"/>
      <c r="L10" s="192"/>
      <c r="M10" s="180"/>
      <c r="N10" s="180"/>
      <c r="O10" s="180"/>
      <c r="P10" s="180"/>
      <c r="Q10" s="180"/>
      <c r="R10" s="180"/>
      <c r="S10" s="193"/>
      <c r="T10" s="180"/>
      <c r="U10" s="180"/>
      <c r="V10" s="180"/>
      <c r="W10" s="180"/>
      <c r="X10" s="180"/>
      <c r="Y10" s="180"/>
      <c r="Z10" s="193"/>
      <c r="AK10" s="192"/>
      <c r="AL10" s="194"/>
      <c r="AM10" s="194"/>
      <c r="AN10" s="194"/>
      <c r="AO10" s="194"/>
      <c r="AP10" s="194"/>
      <c r="AQ10" s="195"/>
      <c r="AR10" s="194"/>
      <c r="AS10" s="194"/>
      <c r="AT10" s="194"/>
      <c r="AU10" s="194"/>
      <c r="AV10" s="194"/>
      <c r="AW10" s="195"/>
      <c r="BH10" s="192"/>
      <c r="BI10" s="180"/>
      <c r="BJ10" s="180"/>
      <c r="BK10" s="180"/>
      <c r="BL10" s="180"/>
      <c r="BM10" s="180"/>
      <c r="BN10" s="180"/>
      <c r="BQ10" s="192"/>
      <c r="BR10" s="180"/>
      <c r="BS10" s="180"/>
      <c r="BT10" s="180"/>
      <c r="BU10" s="180"/>
      <c r="BV10" s="180"/>
      <c r="BW10" s="180"/>
      <c r="BZ10" s="192"/>
      <c r="CA10" s="234"/>
      <c r="CB10" s="486"/>
      <c r="CC10" s="241"/>
      <c r="CD10" s="179"/>
      <c r="CE10" s="430"/>
      <c r="CF10" s="234"/>
      <c r="CG10" s="486"/>
      <c r="CH10" s="241"/>
      <c r="CI10" s="421"/>
      <c r="CJ10" s="237"/>
      <c r="CK10" s="234"/>
      <c r="CL10" s="486"/>
      <c r="CM10" s="486"/>
      <c r="CN10" s="433"/>
      <c r="CO10" s="193"/>
      <c r="CP10" s="179"/>
      <c r="CQ10" s="179"/>
      <c r="CR10" s="179"/>
      <c r="CS10" s="179"/>
      <c r="CT10" s="179"/>
    </row>
    <row r="11" spans="1:108" x14ac:dyDescent="0.25">
      <c r="A11" s="321">
        <v>94</v>
      </c>
      <c r="B11" s="321" t="s">
        <v>215</v>
      </c>
      <c r="C11" s="321" t="s">
        <v>183</v>
      </c>
      <c r="D11" s="321" t="s">
        <v>184</v>
      </c>
      <c r="E11" s="321" t="s">
        <v>185</v>
      </c>
      <c r="F11" s="197">
        <v>6.6</v>
      </c>
      <c r="G11" s="197">
        <v>6.5</v>
      </c>
      <c r="H11" s="197">
        <v>6.5</v>
      </c>
      <c r="I11" s="197">
        <v>6.8</v>
      </c>
      <c r="J11" s="197">
        <v>8.5</v>
      </c>
      <c r="K11" s="198">
        <f t="shared" ref="K11:K16" si="0">SUM((F11*0.3),(G11*0.25),(H11*0.25),(I11*0.15),(J11*0.05))</f>
        <v>6.6749999999999998</v>
      </c>
      <c r="L11" s="199"/>
      <c r="M11" s="197">
        <v>6.8</v>
      </c>
      <c r="N11" s="197">
        <v>7</v>
      </c>
      <c r="O11" s="197">
        <v>8</v>
      </c>
      <c r="P11" s="197">
        <v>7.5</v>
      </c>
      <c r="Q11" s="197">
        <v>7.5</v>
      </c>
      <c r="R11" s="198">
        <f t="shared" ref="R11:R16" si="1">SUM((M11*0.3),(N11*0.25),(O11*0.25),(P11*0.15),(Q11*0.05))</f>
        <v>7.29</v>
      </c>
      <c r="S11" s="200"/>
      <c r="T11" s="197">
        <v>7</v>
      </c>
      <c r="U11" s="197">
        <v>7</v>
      </c>
      <c r="V11" s="197">
        <v>7</v>
      </c>
      <c r="W11" s="197">
        <v>7.5</v>
      </c>
      <c r="X11" s="197">
        <v>8</v>
      </c>
      <c r="Y11" s="198">
        <f t="shared" ref="Y11:Y16" si="2">SUM((T11*0.3),(U11*0.25),(V11*0.25),(W11*0.15),(X11*0.05))</f>
        <v>7.125</v>
      </c>
      <c r="Z11" s="200"/>
      <c r="AA11" s="197">
        <v>6.5</v>
      </c>
      <c r="AB11" s="197">
        <v>6.5</v>
      </c>
      <c r="AC11" s="197">
        <v>6</v>
      </c>
      <c r="AD11" s="197">
        <v>8</v>
      </c>
      <c r="AE11" s="197">
        <v>6.5</v>
      </c>
      <c r="AF11" s="197">
        <v>5.5</v>
      </c>
      <c r="AG11" s="197">
        <v>7</v>
      </c>
      <c r="AH11" s="197">
        <v>7.5</v>
      </c>
      <c r="AI11" s="201">
        <f t="shared" ref="AI11:AI16" si="3">SUM(AA11:AH11)</f>
        <v>53.5</v>
      </c>
      <c r="AJ11" s="198">
        <f t="shared" ref="AJ11:AJ16" si="4">AI11/8</f>
        <v>6.6875</v>
      </c>
      <c r="AK11" s="199"/>
      <c r="AL11" s="202">
        <v>7.28</v>
      </c>
      <c r="AM11" s="203">
        <v>0</v>
      </c>
      <c r="AN11" s="204">
        <f t="shared" ref="AN11:AN16" si="5">AL11-AM11</f>
        <v>7.28</v>
      </c>
      <c r="AO11" s="203">
        <v>7</v>
      </c>
      <c r="AP11" s="205">
        <f t="shared" ref="AP11:AP16" si="6">SUM((AN11*0.7),(AO11*0.3))</f>
        <v>7.1959999999999997</v>
      </c>
      <c r="AQ11" s="206"/>
      <c r="AR11" s="202">
        <v>7.7</v>
      </c>
      <c r="AS11" s="203">
        <v>0</v>
      </c>
      <c r="AT11" s="204">
        <f t="shared" ref="AT11:AT16" si="7">AR11-AS11</f>
        <v>7.7</v>
      </c>
      <c r="AU11" s="203">
        <v>4.0999999999999996</v>
      </c>
      <c r="AV11" s="205">
        <f t="shared" ref="AV11:AV16" si="8">SUM((AT11*0.7),(AU11*0.3))</f>
        <v>6.6199999999999992</v>
      </c>
      <c r="AW11" s="206"/>
      <c r="AX11" s="197">
        <v>6.7</v>
      </c>
      <c r="AY11" s="197">
        <v>7.5</v>
      </c>
      <c r="AZ11" s="197">
        <v>7.2</v>
      </c>
      <c r="BA11" s="197">
        <v>6.7</v>
      </c>
      <c r="BB11" s="197">
        <v>4</v>
      </c>
      <c r="BC11" s="197">
        <v>5.7</v>
      </c>
      <c r="BD11" s="197">
        <v>5</v>
      </c>
      <c r="BE11" s="197">
        <v>7</v>
      </c>
      <c r="BF11" s="201">
        <f t="shared" ref="BF11:BF16" si="9">SUM(AX11:BE11)</f>
        <v>49.8</v>
      </c>
      <c r="BG11" s="198">
        <f t="shared" ref="BG11:BG16" si="10">BF11/8</f>
        <v>6.2249999999999996</v>
      </c>
      <c r="BH11" s="199"/>
      <c r="BI11" s="197">
        <v>8</v>
      </c>
      <c r="BJ11" s="197">
        <v>8</v>
      </c>
      <c r="BK11" s="197">
        <v>6.3</v>
      </c>
      <c r="BL11" s="197">
        <v>4.8</v>
      </c>
      <c r="BM11" s="197">
        <v>4.3</v>
      </c>
      <c r="BN11" s="198">
        <f t="shared" ref="BN11:BN16" si="11">SUM((BI11*0.2),(BJ11*0.15),(BK11*0.25),(BL11*0.2),(BM11*0.2))</f>
        <v>6.1950000000000003</v>
      </c>
      <c r="BO11" s="207">
        <v>0</v>
      </c>
      <c r="BP11" s="198">
        <f t="shared" ref="BP11:BP16" si="12">BN11-BO11</f>
        <v>6.1950000000000003</v>
      </c>
      <c r="BQ11" s="199"/>
      <c r="BR11" s="197">
        <v>9</v>
      </c>
      <c r="BS11" s="197">
        <v>8</v>
      </c>
      <c r="BT11" s="197">
        <v>8</v>
      </c>
      <c r="BU11" s="197">
        <v>7.5</v>
      </c>
      <c r="BV11" s="197">
        <v>7.5</v>
      </c>
      <c r="BW11" s="198">
        <f t="shared" ref="BW11:BW16" si="13">SUM((BR11*0.2),(BS11*0.15),(BT11*0.25),(BU11*0.2),(BV11*0.2))</f>
        <v>8</v>
      </c>
      <c r="BX11" s="207">
        <v>0</v>
      </c>
      <c r="BY11" s="198">
        <f t="shared" ref="BY11:BY16" si="14">BW11-BX11</f>
        <v>8</v>
      </c>
      <c r="BZ11" s="199"/>
      <c r="CA11" s="236">
        <f t="shared" ref="CA11:CA16" si="15">K11</f>
        <v>6.6749999999999998</v>
      </c>
      <c r="CB11" s="236">
        <f t="shared" ref="CB11:CB16" si="16">AJ11</f>
        <v>6.6875</v>
      </c>
      <c r="CC11" s="242">
        <f t="shared" ref="CC11:CC16" si="17">BG11</f>
        <v>6.2249999999999996</v>
      </c>
      <c r="CD11" s="425">
        <f t="shared" ref="CD11:CD16" si="18">CP11</f>
        <v>6.5109374999999998</v>
      </c>
      <c r="CE11" s="431"/>
      <c r="CF11" s="236">
        <f t="shared" ref="CF11:CF16" si="19">R11</f>
        <v>7.29</v>
      </c>
      <c r="CG11" s="236">
        <f t="shared" ref="CG11:CG16" si="20">AP11</f>
        <v>7.1959999999999997</v>
      </c>
      <c r="CH11" s="242">
        <f t="shared" ref="CH11:CH16" si="21">BP11</f>
        <v>6.1950000000000003</v>
      </c>
      <c r="CI11" s="427">
        <f t="shared" ref="CI11:CI16" si="22">CQ11</f>
        <v>6.9692499999999997</v>
      </c>
      <c r="CJ11" s="420"/>
      <c r="CK11" s="236">
        <f t="shared" ref="CK11:CK16" si="23">Y11</f>
        <v>7.125</v>
      </c>
      <c r="CL11" s="236">
        <f t="shared" ref="CL11:CL16" si="24">AV11</f>
        <v>6.6199999999999992</v>
      </c>
      <c r="CM11" s="236">
        <f t="shared" ref="CM11:CM16" si="25">BY11</f>
        <v>8</v>
      </c>
      <c r="CN11" s="435">
        <f>CR11</f>
        <v>7.0912499999999996</v>
      </c>
      <c r="CO11" s="199"/>
      <c r="CP11" s="198">
        <f t="shared" ref="CP11:CP16" si="26">SUM((K11*0.25)+(AJ11*0.375)+(BG11*0.375))</f>
        <v>6.5109374999999998</v>
      </c>
      <c r="CQ11" s="198">
        <f t="shared" ref="CQ11:CQ16" si="27">SUM((R11*0.25)+(AP11*0.5)+(BP11*0.25))</f>
        <v>6.9692499999999997</v>
      </c>
      <c r="CR11" s="198">
        <f t="shared" ref="CR11:CR16" si="28">SUM((Y11*0.25)+(AV11*0.5)+(BY11*0.25))</f>
        <v>7.0912499999999996</v>
      </c>
      <c r="CS11" s="208">
        <f t="shared" ref="CS11:CS16" si="29">AVERAGE(CP11:CR11)</f>
        <v>6.8571458333333331</v>
      </c>
      <c r="CT11" s="61">
        <f t="shared" ref="CT11:CT16" si="30">RANK(CS11,CS$11:CS$16)</f>
        <v>1</v>
      </c>
    </row>
    <row r="12" spans="1:108" x14ac:dyDescent="0.25">
      <c r="A12" s="321">
        <v>86</v>
      </c>
      <c r="B12" s="321" t="s">
        <v>214</v>
      </c>
      <c r="C12" s="321" t="s">
        <v>179</v>
      </c>
      <c r="D12" s="321" t="s">
        <v>180</v>
      </c>
      <c r="E12" s="321" t="s">
        <v>181</v>
      </c>
      <c r="F12" s="197">
        <v>6.9</v>
      </c>
      <c r="G12" s="197">
        <v>6.9</v>
      </c>
      <c r="H12" s="197">
        <v>6.5</v>
      </c>
      <c r="I12" s="197">
        <v>6.8</v>
      </c>
      <c r="J12" s="197">
        <v>8.5</v>
      </c>
      <c r="K12" s="198">
        <f t="shared" si="0"/>
        <v>6.8649999999999993</v>
      </c>
      <c r="L12" s="199"/>
      <c r="M12" s="197">
        <v>6.5</v>
      </c>
      <c r="N12" s="197">
        <v>7</v>
      </c>
      <c r="O12" s="197">
        <v>7.5</v>
      </c>
      <c r="P12" s="197">
        <v>6.5</v>
      </c>
      <c r="Q12" s="197">
        <v>6.5</v>
      </c>
      <c r="R12" s="198">
        <f t="shared" si="1"/>
        <v>6.875</v>
      </c>
      <c r="S12" s="200"/>
      <c r="T12" s="197">
        <v>7.5</v>
      </c>
      <c r="U12" s="197">
        <v>7.6</v>
      </c>
      <c r="V12" s="197">
        <v>7.5</v>
      </c>
      <c r="W12" s="197">
        <v>8</v>
      </c>
      <c r="X12" s="197">
        <v>8</v>
      </c>
      <c r="Y12" s="198">
        <f t="shared" si="2"/>
        <v>7.6250000000000009</v>
      </c>
      <c r="Z12" s="200"/>
      <c r="AA12" s="197">
        <v>6</v>
      </c>
      <c r="AB12" s="197">
        <v>6.5</v>
      </c>
      <c r="AC12" s="197">
        <v>6.5</v>
      </c>
      <c r="AD12" s="197">
        <v>7</v>
      </c>
      <c r="AE12" s="197">
        <v>6.5</v>
      </c>
      <c r="AF12" s="197">
        <v>5</v>
      </c>
      <c r="AG12" s="197">
        <v>7.5</v>
      </c>
      <c r="AH12" s="197">
        <v>7</v>
      </c>
      <c r="AI12" s="201">
        <f t="shared" si="3"/>
        <v>52</v>
      </c>
      <c r="AJ12" s="198">
        <f t="shared" si="4"/>
        <v>6.5</v>
      </c>
      <c r="AK12" s="199"/>
      <c r="AL12" s="202">
        <v>6.9</v>
      </c>
      <c r="AM12" s="203">
        <v>0</v>
      </c>
      <c r="AN12" s="204">
        <f t="shared" si="5"/>
        <v>6.9</v>
      </c>
      <c r="AO12" s="203">
        <v>6.6</v>
      </c>
      <c r="AP12" s="205">
        <f t="shared" si="6"/>
        <v>6.81</v>
      </c>
      <c r="AQ12" s="206"/>
      <c r="AR12" s="202">
        <v>7.3</v>
      </c>
      <c r="AS12" s="203">
        <v>0</v>
      </c>
      <c r="AT12" s="204">
        <f t="shared" si="7"/>
        <v>7.3</v>
      </c>
      <c r="AU12" s="203">
        <v>6</v>
      </c>
      <c r="AV12" s="205">
        <f t="shared" si="8"/>
        <v>6.9099999999999993</v>
      </c>
      <c r="AW12" s="206"/>
      <c r="AX12" s="197">
        <v>6.5</v>
      </c>
      <c r="AY12" s="197">
        <v>7.5</v>
      </c>
      <c r="AZ12" s="197">
        <v>7.4</v>
      </c>
      <c r="BA12" s="197">
        <v>6.4</v>
      </c>
      <c r="BB12" s="197">
        <v>5</v>
      </c>
      <c r="BC12" s="197">
        <v>6</v>
      </c>
      <c r="BD12" s="197">
        <v>7.3</v>
      </c>
      <c r="BE12" s="197">
        <v>7.5</v>
      </c>
      <c r="BF12" s="201">
        <f t="shared" si="9"/>
        <v>53.599999999999994</v>
      </c>
      <c r="BG12" s="198">
        <f t="shared" si="10"/>
        <v>6.6999999999999993</v>
      </c>
      <c r="BH12" s="199"/>
      <c r="BI12" s="197">
        <v>8</v>
      </c>
      <c r="BJ12" s="197">
        <v>7</v>
      </c>
      <c r="BK12" s="197">
        <v>6</v>
      </c>
      <c r="BL12" s="197">
        <v>3</v>
      </c>
      <c r="BM12" s="197">
        <v>4.5</v>
      </c>
      <c r="BN12" s="198">
        <f t="shared" si="11"/>
        <v>5.65</v>
      </c>
      <c r="BO12" s="207">
        <v>0</v>
      </c>
      <c r="BP12" s="198">
        <f t="shared" si="12"/>
        <v>5.65</v>
      </c>
      <c r="BQ12" s="199"/>
      <c r="BR12" s="197">
        <v>9</v>
      </c>
      <c r="BS12" s="197">
        <v>8</v>
      </c>
      <c r="BT12" s="197">
        <v>8</v>
      </c>
      <c r="BU12" s="197">
        <v>7</v>
      </c>
      <c r="BV12" s="197">
        <v>7.5</v>
      </c>
      <c r="BW12" s="198">
        <f t="shared" si="13"/>
        <v>7.9</v>
      </c>
      <c r="BX12" s="207">
        <v>0</v>
      </c>
      <c r="BY12" s="198">
        <f t="shared" si="14"/>
        <v>7.9</v>
      </c>
      <c r="BZ12" s="199"/>
      <c r="CA12" s="236">
        <f t="shared" si="15"/>
        <v>6.8649999999999993</v>
      </c>
      <c r="CB12" s="236">
        <f t="shared" si="16"/>
        <v>6.5</v>
      </c>
      <c r="CC12" s="242">
        <f t="shared" si="17"/>
        <v>6.6999999999999993</v>
      </c>
      <c r="CD12" s="425">
        <f t="shared" si="18"/>
        <v>6.6662499999999998</v>
      </c>
      <c r="CE12" s="431"/>
      <c r="CF12" s="236">
        <f t="shared" si="19"/>
        <v>6.875</v>
      </c>
      <c r="CG12" s="236">
        <f t="shared" si="20"/>
        <v>6.81</v>
      </c>
      <c r="CH12" s="242">
        <f t="shared" si="21"/>
        <v>5.65</v>
      </c>
      <c r="CI12" s="427">
        <f t="shared" si="22"/>
        <v>6.536249999999999</v>
      </c>
      <c r="CJ12" s="420"/>
      <c r="CK12" s="236">
        <f t="shared" si="23"/>
        <v>7.6250000000000009</v>
      </c>
      <c r="CL12" s="236">
        <f t="shared" si="24"/>
        <v>6.9099999999999993</v>
      </c>
      <c r="CM12" s="236">
        <f t="shared" si="25"/>
        <v>7.9</v>
      </c>
      <c r="CN12" s="435">
        <f t="shared" ref="CN12:CN16" si="31">CR12</f>
        <v>7.3362499999999997</v>
      </c>
      <c r="CO12" s="199"/>
      <c r="CP12" s="198">
        <f t="shared" si="26"/>
        <v>6.6662499999999998</v>
      </c>
      <c r="CQ12" s="198">
        <f t="shared" si="27"/>
        <v>6.536249999999999</v>
      </c>
      <c r="CR12" s="198">
        <f t="shared" si="28"/>
        <v>7.3362499999999997</v>
      </c>
      <c r="CS12" s="208">
        <f t="shared" si="29"/>
        <v>6.8462500000000004</v>
      </c>
      <c r="CT12" s="61">
        <f t="shared" si="30"/>
        <v>2</v>
      </c>
    </row>
    <row r="13" spans="1:108" x14ac:dyDescent="0.25">
      <c r="A13" s="321">
        <v>93</v>
      </c>
      <c r="B13" s="321" t="s">
        <v>127</v>
      </c>
      <c r="C13" s="321" t="s">
        <v>130</v>
      </c>
      <c r="D13" s="321" t="s">
        <v>124</v>
      </c>
      <c r="E13" s="321" t="s">
        <v>132</v>
      </c>
      <c r="F13" s="197">
        <v>6.7</v>
      </c>
      <c r="G13" s="197">
        <v>6.7</v>
      </c>
      <c r="H13" s="197">
        <v>6.6</v>
      </c>
      <c r="I13" s="197">
        <v>6.6</v>
      </c>
      <c r="J13" s="197">
        <v>7.5</v>
      </c>
      <c r="K13" s="198">
        <f t="shared" si="0"/>
        <v>6.6999999999999993</v>
      </c>
      <c r="L13" s="199"/>
      <c r="M13" s="197">
        <v>7</v>
      </c>
      <c r="N13" s="197">
        <v>6</v>
      </c>
      <c r="O13" s="197">
        <v>7</v>
      </c>
      <c r="P13" s="197">
        <v>6.2</v>
      </c>
      <c r="Q13" s="197">
        <v>6.5</v>
      </c>
      <c r="R13" s="198">
        <f t="shared" si="1"/>
        <v>6.6049999999999995</v>
      </c>
      <c r="S13" s="200"/>
      <c r="T13" s="197">
        <v>7</v>
      </c>
      <c r="U13" s="197">
        <v>7</v>
      </c>
      <c r="V13" s="197">
        <v>6</v>
      </c>
      <c r="W13" s="197">
        <v>7</v>
      </c>
      <c r="X13" s="197">
        <v>7</v>
      </c>
      <c r="Y13" s="198">
        <f t="shared" si="2"/>
        <v>6.7499999999999991</v>
      </c>
      <c r="Z13" s="200"/>
      <c r="AA13" s="197">
        <v>6</v>
      </c>
      <c r="AB13" s="197">
        <v>6.5</v>
      </c>
      <c r="AC13" s="197">
        <v>5</v>
      </c>
      <c r="AD13" s="197">
        <v>5.5</v>
      </c>
      <c r="AE13" s="197">
        <v>5</v>
      </c>
      <c r="AF13" s="197">
        <v>5</v>
      </c>
      <c r="AG13" s="197">
        <v>7.5</v>
      </c>
      <c r="AH13" s="197">
        <v>7.5</v>
      </c>
      <c r="AI13" s="201">
        <f t="shared" si="3"/>
        <v>48</v>
      </c>
      <c r="AJ13" s="198">
        <f t="shared" si="4"/>
        <v>6</v>
      </c>
      <c r="AK13" s="199"/>
      <c r="AL13" s="202">
        <v>6.5</v>
      </c>
      <c r="AM13" s="203">
        <v>0</v>
      </c>
      <c r="AN13" s="204">
        <f t="shared" si="5"/>
        <v>6.5</v>
      </c>
      <c r="AO13" s="203">
        <v>5.3</v>
      </c>
      <c r="AP13" s="205">
        <f t="shared" si="6"/>
        <v>6.14</v>
      </c>
      <c r="AQ13" s="206"/>
      <c r="AR13" s="202">
        <v>7.6</v>
      </c>
      <c r="AS13" s="203">
        <v>0</v>
      </c>
      <c r="AT13" s="204">
        <f t="shared" si="7"/>
        <v>7.6</v>
      </c>
      <c r="AU13" s="203">
        <v>5</v>
      </c>
      <c r="AV13" s="205">
        <f t="shared" si="8"/>
        <v>6.8199999999999994</v>
      </c>
      <c r="AW13" s="206"/>
      <c r="AX13" s="197">
        <v>5.3</v>
      </c>
      <c r="AY13" s="197">
        <v>7.5</v>
      </c>
      <c r="AZ13" s="197">
        <v>6.5</v>
      </c>
      <c r="BA13" s="197">
        <v>6.3</v>
      </c>
      <c r="BB13" s="197">
        <v>6.5</v>
      </c>
      <c r="BC13" s="197">
        <v>5.2</v>
      </c>
      <c r="BD13" s="197">
        <v>7.8</v>
      </c>
      <c r="BE13" s="197">
        <v>7.8</v>
      </c>
      <c r="BF13" s="201">
        <f t="shared" si="9"/>
        <v>52.9</v>
      </c>
      <c r="BG13" s="198">
        <f t="shared" si="10"/>
        <v>6.6124999999999998</v>
      </c>
      <c r="BH13" s="199"/>
      <c r="BI13" s="197">
        <v>7</v>
      </c>
      <c r="BJ13" s="197">
        <v>6</v>
      </c>
      <c r="BK13" s="197">
        <v>5.8</v>
      </c>
      <c r="BL13" s="197">
        <v>6</v>
      </c>
      <c r="BM13" s="197">
        <v>5.8</v>
      </c>
      <c r="BN13" s="198">
        <f t="shared" si="11"/>
        <v>6.11</v>
      </c>
      <c r="BO13" s="207">
        <v>0</v>
      </c>
      <c r="BP13" s="198">
        <f t="shared" si="12"/>
        <v>6.11</v>
      </c>
      <c r="BQ13" s="199"/>
      <c r="BR13" s="197">
        <v>7.5</v>
      </c>
      <c r="BS13" s="197">
        <v>6</v>
      </c>
      <c r="BT13" s="197">
        <v>6.5</v>
      </c>
      <c r="BU13" s="197">
        <v>7</v>
      </c>
      <c r="BV13" s="197">
        <v>6</v>
      </c>
      <c r="BW13" s="198">
        <f t="shared" si="13"/>
        <v>6.6250000000000009</v>
      </c>
      <c r="BX13" s="207">
        <v>0</v>
      </c>
      <c r="BY13" s="198">
        <f t="shared" si="14"/>
        <v>6.6250000000000009</v>
      </c>
      <c r="BZ13" s="199"/>
      <c r="CA13" s="236">
        <f t="shared" si="15"/>
        <v>6.6999999999999993</v>
      </c>
      <c r="CB13" s="236">
        <f t="shared" si="16"/>
        <v>6</v>
      </c>
      <c r="CC13" s="242">
        <f t="shared" si="17"/>
        <v>6.6124999999999998</v>
      </c>
      <c r="CD13" s="425">
        <f t="shared" si="18"/>
        <v>6.4046874999999996</v>
      </c>
      <c r="CE13" s="431"/>
      <c r="CF13" s="236">
        <f t="shared" si="19"/>
        <v>6.6049999999999995</v>
      </c>
      <c r="CG13" s="236">
        <f t="shared" si="20"/>
        <v>6.14</v>
      </c>
      <c r="CH13" s="242">
        <f t="shared" si="21"/>
        <v>6.11</v>
      </c>
      <c r="CI13" s="427">
        <f t="shared" si="22"/>
        <v>6.2487499999999994</v>
      </c>
      <c r="CJ13" s="420"/>
      <c r="CK13" s="236">
        <f t="shared" si="23"/>
        <v>6.7499999999999991</v>
      </c>
      <c r="CL13" s="236">
        <f t="shared" si="24"/>
        <v>6.8199999999999994</v>
      </c>
      <c r="CM13" s="236">
        <f t="shared" si="25"/>
        <v>6.6250000000000009</v>
      </c>
      <c r="CN13" s="435">
        <f t="shared" si="31"/>
        <v>6.7537499999999993</v>
      </c>
      <c r="CO13" s="199"/>
      <c r="CP13" s="198">
        <f t="shared" si="26"/>
        <v>6.4046874999999996</v>
      </c>
      <c r="CQ13" s="198">
        <f t="shared" si="27"/>
        <v>6.2487499999999994</v>
      </c>
      <c r="CR13" s="198">
        <f t="shared" si="28"/>
        <v>6.7537499999999993</v>
      </c>
      <c r="CS13" s="208">
        <f t="shared" si="29"/>
        <v>6.4690624999999997</v>
      </c>
      <c r="CT13" s="61">
        <f t="shared" si="30"/>
        <v>3</v>
      </c>
    </row>
    <row r="14" spans="1:108" x14ac:dyDescent="0.25">
      <c r="A14" s="321">
        <v>141</v>
      </c>
      <c r="B14" s="321" t="s">
        <v>146</v>
      </c>
      <c r="C14" s="321" t="s">
        <v>197</v>
      </c>
      <c r="D14" s="321" t="s">
        <v>152</v>
      </c>
      <c r="E14" s="321" t="s">
        <v>153</v>
      </c>
      <c r="F14" s="197">
        <v>6.7</v>
      </c>
      <c r="G14" s="197">
        <v>6.8</v>
      </c>
      <c r="H14" s="197">
        <v>7</v>
      </c>
      <c r="I14" s="197">
        <v>7.2</v>
      </c>
      <c r="J14" s="197">
        <v>7.5</v>
      </c>
      <c r="K14" s="198">
        <f t="shared" si="0"/>
        <v>6.915</v>
      </c>
      <c r="L14" s="199"/>
      <c r="M14" s="197">
        <v>6</v>
      </c>
      <c r="N14" s="197">
        <v>6</v>
      </c>
      <c r="O14" s="197">
        <v>7</v>
      </c>
      <c r="P14" s="197">
        <v>6.5</v>
      </c>
      <c r="Q14" s="197">
        <v>7</v>
      </c>
      <c r="R14" s="198">
        <f t="shared" si="1"/>
        <v>6.3749999999999991</v>
      </c>
      <c r="S14" s="200"/>
      <c r="T14" s="197">
        <v>6.3</v>
      </c>
      <c r="U14" s="197">
        <v>6.3</v>
      </c>
      <c r="V14" s="197">
        <v>6.7</v>
      </c>
      <c r="W14" s="197">
        <v>7</v>
      </c>
      <c r="X14" s="197">
        <v>7.5</v>
      </c>
      <c r="Y14" s="198">
        <f t="shared" si="2"/>
        <v>6.5649999999999995</v>
      </c>
      <c r="Z14" s="200"/>
      <c r="AA14" s="197">
        <v>6</v>
      </c>
      <c r="AB14" s="197">
        <v>7.5</v>
      </c>
      <c r="AC14" s="197">
        <v>7.5</v>
      </c>
      <c r="AD14" s="197">
        <v>7.8</v>
      </c>
      <c r="AE14" s="197">
        <v>5</v>
      </c>
      <c r="AF14" s="197">
        <v>5.5</v>
      </c>
      <c r="AG14" s="197">
        <v>7</v>
      </c>
      <c r="AH14" s="197">
        <v>6.5</v>
      </c>
      <c r="AI14" s="201">
        <f t="shared" si="3"/>
        <v>52.8</v>
      </c>
      <c r="AJ14" s="198">
        <f t="shared" si="4"/>
        <v>6.6</v>
      </c>
      <c r="AK14" s="199"/>
      <c r="AL14" s="202">
        <v>8.66</v>
      </c>
      <c r="AM14" s="203">
        <v>0</v>
      </c>
      <c r="AN14" s="204">
        <f t="shared" si="5"/>
        <v>8.66</v>
      </c>
      <c r="AO14" s="203">
        <v>1.6</v>
      </c>
      <c r="AP14" s="205">
        <f t="shared" si="6"/>
        <v>6.5419999999999998</v>
      </c>
      <c r="AQ14" s="206"/>
      <c r="AR14" s="202">
        <v>8.1</v>
      </c>
      <c r="AS14" s="203">
        <v>0</v>
      </c>
      <c r="AT14" s="204">
        <f t="shared" si="7"/>
        <v>8.1</v>
      </c>
      <c r="AU14" s="203">
        <v>2.4</v>
      </c>
      <c r="AV14" s="205">
        <f t="shared" si="8"/>
        <v>6.3899999999999988</v>
      </c>
      <c r="AW14" s="206"/>
      <c r="AX14" s="197">
        <v>5.3</v>
      </c>
      <c r="AY14" s="197">
        <v>7.3</v>
      </c>
      <c r="AZ14" s="197">
        <v>6</v>
      </c>
      <c r="BA14" s="197">
        <v>6</v>
      </c>
      <c r="BB14" s="197">
        <v>4.7</v>
      </c>
      <c r="BC14" s="197">
        <v>5.7</v>
      </c>
      <c r="BD14" s="197">
        <v>6.8</v>
      </c>
      <c r="BE14" s="197">
        <v>6.5</v>
      </c>
      <c r="BF14" s="201">
        <f t="shared" si="9"/>
        <v>48.3</v>
      </c>
      <c r="BG14" s="198">
        <f t="shared" si="10"/>
        <v>6.0374999999999996</v>
      </c>
      <c r="BH14" s="199"/>
      <c r="BI14" s="197">
        <v>5</v>
      </c>
      <c r="BJ14" s="197">
        <v>7</v>
      </c>
      <c r="BK14" s="197">
        <v>6</v>
      </c>
      <c r="BL14" s="197">
        <v>4</v>
      </c>
      <c r="BM14" s="197">
        <v>3.5</v>
      </c>
      <c r="BN14" s="198">
        <f t="shared" si="11"/>
        <v>5.05</v>
      </c>
      <c r="BO14" s="207">
        <v>0</v>
      </c>
      <c r="BP14" s="198">
        <f t="shared" si="12"/>
        <v>5.05</v>
      </c>
      <c r="BQ14" s="199"/>
      <c r="BR14" s="197">
        <v>6</v>
      </c>
      <c r="BS14" s="197">
        <v>7.8</v>
      </c>
      <c r="BT14" s="197">
        <v>7.5</v>
      </c>
      <c r="BU14" s="197">
        <v>7.5</v>
      </c>
      <c r="BV14" s="197">
        <v>7</v>
      </c>
      <c r="BW14" s="198">
        <f t="shared" si="13"/>
        <v>7.1450000000000005</v>
      </c>
      <c r="BX14" s="207">
        <v>0</v>
      </c>
      <c r="BY14" s="198">
        <f t="shared" si="14"/>
        <v>7.1450000000000005</v>
      </c>
      <c r="BZ14" s="199"/>
      <c r="CA14" s="236">
        <f t="shared" si="15"/>
        <v>6.915</v>
      </c>
      <c r="CB14" s="236">
        <f t="shared" si="16"/>
        <v>6.6</v>
      </c>
      <c r="CC14" s="242">
        <f t="shared" si="17"/>
        <v>6.0374999999999996</v>
      </c>
      <c r="CD14" s="425">
        <f t="shared" si="18"/>
        <v>6.4678124999999991</v>
      </c>
      <c r="CE14" s="431"/>
      <c r="CF14" s="236">
        <f t="shared" si="19"/>
        <v>6.3749999999999991</v>
      </c>
      <c r="CG14" s="236">
        <f t="shared" si="20"/>
        <v>6.5419999999999998</v>
      </c>
      <c r="CH14" s="242">
        <f t="shared" si="21"/>
        <v>5.05</v>
      </c>
      <c r="CI14" s="427">
        <f t="shared" si="22"/>
        <v>6.1272500000000001</v>
      </c>
      <c r="CJ14" s="420"/>
      <c r="CK14" s="236">
        <f t="shared" si="23"/>
        <v>6.5649999999999995</v>
      </c>
      <c r="CL14" s="236">
        <f t="shared" si="24"/>
        <v>6.3899999999999988</v>
      </c>
      <c r="CM14" s="236">
        <f t="shared" si="25"/>
        <v>7.1450000000000005</v>
      </c>
      <c r="CN14" s="435">
        <f t="shared" si="31"/>
        <v>6.6224999999999996</v>
      </c>
      <c r="CO14" s="199"/>
      <c r="CP14" s="198">
        <f t="shared" si="26"/>
        <v>6.4678124999999991</v>
      </c>
      <c r="CQ14" s="198">
        <f t="shared" si="27"/>
        <v>6.1272500000000001</v>
      </c>
      <c r="CR14" s="198">
        <f t="shared" si="28"/>
        <v>6.6224999999999996</v>
      </c>
      <c r="CS14" s="208">
        <f t="shared" si="29"/>
        <v>6.4058541666666668</v>
      </c>
      <c r="CT14" s="61">
        <f t="shared" si="30"/>
        <v>4</v>
      </c>
    </row>
    <row r="15" spans="1:108" x14ac:dyDescent="0.25">
      <c r="A15" s="321">
        <v>135</v>
      </c>
      <c r="B15" s="321" t="s">
        <v>145</v>
      </c>
      <c r="C15" s="321" t="s">
        <v>197</v>
      </c>
      <c r="D15" s="321" t="s">
        <v>152</v>
      </c>
      <c r="E15" s="321" t="s">
        <v>153</v>
      </c>
      <c r="F15" s="197">
        <v>6.9</v>
      </c>
      <c r="G15" s="197">
        <v>6.9</v>
      </c>
      <c r="H15" s="197">
        <v>7.2</v>
      </c>
      <c r="I15" s="197">
        <v>7.4</v>
      </c>
      <c r="J15" s="197">
        <v>7.5</v>
      </c>
      <c r="K15" s="198">
        <f t="shared" si="0"/>
        <v>7.08</v>
      </c>
      <c r="L15" s="199"/>
      <c r="M15" s="197">
        <v>5.5</v>
      </c>
      <c r="N15" s="197">
        <v>4.5</v>
      </c>
      <c r="O15" s="197">
        <v>6.5</v>
      </c>
      <c r="P15" s="197">
        <v>6.5</v>
      </c>
      <c r="Q15" s="197">
        <v>7</v>
      </c>
      <c r="R15" s="198">
        <f t="shared" si="1"/>
        <v>5.7249999999999996</v>
      </c>
      <c r="S15" s="200"/>
      <c r="T15" s="197">
        <v>6.3</v>
      </c>
      <c r="U15" s="197">
        <v>6.3</v>
      </c>
      <c r="V15" s="197">
        <v>6.7</v>
      </c>
      <c r="W15" s="197">
        <v>7</v>
      </c>
      <c r="X15" s="197">
        <v>7.5</v>
      </c>
      <c r="Y15" s="198">
        <f t="shared" si="2"/>
        <v>6.5649999999999995</v>
      </c>
      <c r="Z15" s="200"/>
      <c r="AA15" s="197">
        <v>5</v>
      </c>
      <c r="AB15" s="197">
        <v>7</v>
      </c>
      <c r="AC15" s="197">
        <v>7</v>
      </c>
      <c r="AD15" s="197">
        <v>6.8</v>
      </c>
      <c r="AE15" s="197">
        <v>5.5</v>
      </c>
      <c r="AF15" s="197">
        <v>5.5</v>
      </c>
      <c r="AG15" s="197">
        <v>7</v>
      </c>
      <c r="AH15" s="197">
        <v>6.5</v>
      </c>
      <c r="AI15" s="201">
        <f t="shared" si="3"/>
        <v>50.3</v>
      </c>
      <c r="AJ15" s="198">
        <f t="shared" si="4"/>
        <v>6.2874999999999996</v>
      </c>
      <c r="AK15" s="199"/>
      <c r="AL15" s="202">
        <v>6.9</v>
      </c>
      <c r="AM15" s="203">
        <v>0</v>
      </c>
      <c r="AN15" s="204">
        <f t="shared" si="5"/>
        <v>6.9</v>
      </c>
      <c r="AO15" s="203">
        <v>4.3</v>
      </c>
      <c r="AP15" s="205">
        <f t="shared" si="6"/>
        <v>6.12</v>
      </c>
      <c r="AQ15" s="206"/>
      <c r="AR15" s="202">
        <v>7.8</v>
      </c>
      <c r="AS15" s="203">
        <v>0</v>
      </c>
      <c r="AT15" s="204">
        <f t="shared" si="7"/>
        <v>7.8</v>
      </c>
      <c r="AU15" s="203">
        <v>4.5999999999999996</v>
      </c>
      <c r="AV15" s="205">
        <f t="shared" si="8"/>
        <v>6.84</v>
      </c>
      <c r="AW15" s="206"/>
      <c r="AX15" s="197">
        <v>5.3</v>
      </c>
      <c r="AY15" s="197">
        <v>7</v>
      </c>
      <c r="AZ15" s="197">
        <v>6.3</v>
      </c>
      <c r="BA15" s="197">
        <v>6.3</v>
      </c>
      <c r="BB15" s="197">
        <v>5</v>
      </c>
      <c r="BC15" s="197">
        <v>6.2</v>
      </c>
      <c r="BD15" s="197">
        <v>6.5</v>
      </c>
      <c r="BE15" s="197">
        <v>6.8</v>
      </c>
      <c r="BF15" s="201">
        <f t="shared" si="9"/>
        <v>49.4</v>
      </c>
      <c r="BG15" s="198">
        <f t="shared" si="10"/>
        <v>6.1749999999999998</v>
      </c>
      <c r="BH15" s="199"/>
      <c r="BI15" s="197">
        <v>7</v>
      </c>
      <c r="BJ15" s="197">
        <v>6</v>
      </c>
      <c r="BK15" s="197">
        <v>5</v>
      </c>
      <c r="BL15" s="197">
        <v>3.8</v>
      </c>
      <c r="BM15" s="197">
        <v>3.5</v>
      </c>
      <c r="BN15" s="198">
        <f t="shared" si="11"/>
        <v>5.01</v>
      </c>
      <c r="BO15" s="207">
        <v>0</v>
      </c>
      <c r="BP15" s="198">
        <f t="shared" si="12"/>
        <v>5.01</v>
      </c>
      <c r="BQ15" s="199"/>
      <c r="BR15" s="197">
        <v>6</v>
      </c>
      <c r="BS15" s="197">
        <v>7.5</v>
      </c>
      <c r="BT15" s="197">
        <v>8</v>
      </c>
      <c r="BU15" s="197">
        <v>7</v>
      </c>
      <c r="BV15" s="197">
        <v>7</v>
      </c>
      <c r="BW15" s="198">
        <f t="shared" si="13"/>
        <v>7.1250000000000009</v>
      </c>
      <c r="BX15" s="207">
        <v>0</v>
      </c>
      <c r="BY15" s="198">
        <f t="shared" si="14"/>
        <v>7.1250000000000009</v>
      </c>
      <c r="BZ15" s="199"/>
      <c r="CA15" s="236">
        <f t="shared" si="15"/>
        <v>7.08</v>
      </c>
      <c r="CB15" s="236">
        <f t="shared" si="16"/>
        <v>6.2874999999999996</v>
      </c>
      <c r="CC15" s="242">
        <f t="shared" si="17"/>
        <v>6.1749999999999998</v>
      </c>
      <c r="CD15" s="425">
        <f t="shared" si="18"/>
        <v>6.443437499999999</v>
      </c>
      <c r="CE15" s="431"/>
      <c r="CF15" s="236">
        <f t="shared" si="19"/>
        <v>5.7249999999999996</v>
      </c>
      <c r="CG15" s="236">
        <f t="shared" si="20"/>
        <v>6.12</v>
      </c>
      <c r="CH15" s="242">
        <f t="shared" si="21"/>
        <v>5.01</v>
      </c>
      <c r="CI15" s="427">
        <f t="shared" si="22"/>
        <v>5.7437500000000004</v>
      </c>
      <c r="CJ15" s="420"/>
      <c r="CK15" s="236">
        <f t="shared" si="23"/>
        <v>6.5649999999999995</v>
      </c>
      <c r="CL15" s="236">
        <f t="shared" si="24"/>
        <v>6.84</v>
      </c>
      <c r="CM15" s="236">
        <f t="shared" si="25"/>
        <v>7.1250000000000009</v>
      </c>
      <c r="CN15" s="435">
        <f t="shared" si="31"/>
        <v>6.8424999999999994</v>
      </c>
      <c r="CO15" s="199"/>
      <c r="CP15" s="198">
        <f t="shared" si="26"/>
        <v>6.443437499999999</v>
      </c>
      <c r="CQ15" s="198">
        <f t="shared" si="27"/>
        <v>5.7437500000000004</v>
      </c>
      <c r="CR15" s="198">
        <f t="shared" si="28"/>
        <v>6.8424999999999994</v>
      </c>
      <c r="CS15" s="208">
        <f t="shared" si="29"/>
        <v>6.3432291666666671</v>
      </c>
      <c r="CT15" s="61">
        <f t="shared" si="30"/>
        <v>5</v>
      </c>
    </row>
    <row r="16" spans="1:108" x14ac:dyDescent="0.25">
      <c r="A16" s="321">
        <v>145</v>
      </c>
      <c r="B16" s="321" t="s">
        <v>134</v>
      </c>
      <c r="C16" s="321" t="s">
        <v>139</v>
      </c>
      <c r="D16" s="321" t="s">
        <v>140</v>
      </c>
      <c r="E16" s="321" t="s">
        <v>116</v>
      </c>
      <c r="F16" s="197">
        <v>7.3</v>
      </c>
      <c r="G16" s="197">
        <v>7.3</v>
      </c>
      <c r="H16" s="197">
        <v>7</v>
      </c>
      <c r="I16" s="197">
        <v>7.2</v>
      </c>
      <c r="J16" s="197">
        <v>8.5</v>
      </c>
      <c r="K16" s="198">
        <f t="shared" si="0"/>
        <v>7.27</v>
      </c>
      <c r="L16" s="199"/>
      <c r="M16" s="197">
        <v>6.5</v>
      </c>
      <c r="N16" s="197">
        <v>7</v>
      </c>
      <c r="O16" s="197">
        <v>7</v>
      </c>
      <c r="P16" s="197">
        <v>7.5</v>
      </c>
      <c r="Q16" s="197">
        <v>7</v>
      </c>
      <c r="R16" s="198">
        <f t="shared" si="1"/>
        <v>6.9249999999999998</v>
      </c>
      <c r="S16" s="200"/>
      <c r="T16" s="197">
        <v>7.9</v>
      </c>
      <c r="U16" s="197">
        <v>8</v>
      </c>
      <c r="V16" s="197">
        <v>8</v>
      </c>
      <c r="W16" s="197">
        <v>9</v>
      </c>
      <c r="X16" s="197">
        <v>8.3000000000000007</v>
      </c>
      <c r="Y16" s="198">
        <f t="shared" si="2"/>
        <v>8.1349999999999998</v>
      </c>
      <c r="Z16" s="200"/>
      <c r="AA16" s="197">
        <v>5</v>
      </c>
      <c r="AB16" s="197">
        <v>6</v>
      </c>
      <c r="AC16" s="197">
        <v>5</v>
      </c>
      <c r="AD16" s="197">
        <v>6</v>
      </c>
      <c r="AE16" s="197">
        <v>5.5</v>
      </c>
      <c r="AF16" s="197">
        <v>4.5</v>
      </c>
      <c r="AG16" s="197">
        <v>6</v>
      </c>
      <c r="AH16" s="197">
        <v>5.5</v>
      </c>
      <c r="AI16" s="201">
        <f t="shared" si="3"/>
        <v>43.5</v>
      </c>
      <c r="AJ16" s="198">
        <f t="shared" si="4"/>
        <v>5.4375</v>
      </c>
      <c r="AK16" s="199"/>
      <c r="AL16" s="202">
        <v>6</v>
      </c>
      <c r="AM16" s="203">
        <v>0.4</v>
      </c>
      <c r="AN16" s="204">
        <f t="shared" si="5"/>
        <v>5.6</v>
      </c>
      <c r="AO16" s="203">
        <v>0.4</v>
      </c>
      <c r="AP16" s="205">
        <f t="shared" si="6"/>
        <v>4.0399999999999991</v>
      </c>
      <c r="AQ16" s="206"/>
      <c r="AR16" s="202">
        <v>7.3</v>
      </c>
      <c r="AS16" s="203">
        <v>0</v>
      </c>
      <c r="AT16" s="204">
        <f t="shared" si="7"/>
        <v>7.3</v>
      </c>
      <c r="AU16" s="203">
        <v>2.9</v>
      </c>
      <c r="AV16" s="205">
        <f t="shared" si="8"/>
        <v>5.9799999999999995</v>
      </c>
      <c r="AW16" s="206"/>
      <c r="AX16" s="197">
        <v>5</v>
      </c>
      <c r="AY16" s="197">
        <v>6.5</v>
      </c>
      <c r="AZ16" s="197">
        <v>6.5</v>
      </c>
      <c r="BA16" s="197">
        <v>6.2</v>
      </c>
      <c r="BB16" s="197">
        <v>4.5</v>
      </c>
      <c r="BC16" s="197">
        <v>4.7</v>
      </c>
      <c r="BD16" s="197">
        <v>5.7</v>
      </c>
      <c r="BE16" s="197">
        <v>5.2</v>
      </c>
      <c r="BF16" s="201">
        <f t="shared" si="9"/>
        <v>44.300000000000004</v>
      </c>
      <c r="BG16" s="198">
        <f t="shared" si="10"/>
        <v>5.5375000000000005</v>
      </c>
      <c r="BH16" s="199"/>
      <c r="BI16" s="197">
        <v>6.5</v>
      </c>
      <c r="BJ16" s="197">
        <v>5</v>
      </c>
      <c r="BK16" s="197">
        <v>4.5</v>
      </c>
      <c r="BL16" s="197">
        <v>3.8</v>
      </c>
      <c r="BM16" s="197">
        <v>3</v>
      </c>
      <c r="BN16" s="198">
        <f t="shared" si="11"/>
        <v>4.5350000000000001</v>
      </c>
      <c r="BO16" s="207">
        <v>0</v>
      </c>
      <c r="BP16" s="198">
        <f t="shared" si="12"/>
        <v>4.5350000000000001</v>
      </c>
      <c r="BQ16" s="199"/>
      <c r="BR16" s="197">
        <v>5.5</v>
      </c>
      <c r="BS16" s="197">
        <v>6</v>
      </c>
      <c r="BT16" s="197">
        <v>6.5</v>
      </c>
      <c r="BU16" s="197">
        <v>5.5</v>
      </c>
      <c r="BV16" s="197">
        <v>5.5</v>
      </c>
      <c r="BW16" s="198">
        <f t="shared" si="13"/>
        <v>5.8249999999999993</v>
      </c>
      <c r="BX16" s="207">
        <v>0</v>
      </c>
      <c r="BY16" s="198">
        <f t="shared" si="14"/>
        <v>5.8249999999999993</v>
      </c>
      <c r="BZ16" s="199"/>
      <c r="CA16" s="236">
        <f t="shared" si="15"/>
        <v>7.27</v>
      </c>
      <c r="CB16" s="236">
        <f t="shared" si="16"/>
        <v>5.4375</v>
      </c>
      <c r="CC16" s="242">
        <f t="shared" si="17"/>
        <v>5.5375000000000005</v>
      </c>
      <c r="CD16" s="425">
        <f t="shared" si="18"/>
        <v>5.9331250000000004</v>
      </c>
      <c r="CE16" s="431"/>
      <c r="CF16" s="236">
        <f t="shared" si="19"/>
        <v>6.9249999999999998</v>
      </c>
      <c r="CG16" s="236">
        <f t="shared" si="20"/>
        <v>4.0399999999999991</v>
      </c>
      <c r="CH16" s="242">
        <f t="shared" si="21"/>
        <v>4.5350000000000001</v>
      </c>
      <c r="CI16" s="427">
        <f t="shared" si="22"/>
        <v>4.8849999999999998</v>
      </c>
      <c r="CJ16" s="420"/>
      <c r="CK16" s="236">
        <f t="shared" si="23"/>
        <v>8.1349999999999998</v>
      </c>
      <c r="CL16" s="236">
        <f t="shared" si="24"/>
        <v>5.9799999999999995</v>
      </c>
      <c r="CM16" s="236">
        <f t="shared" si="25"/>
        <v>5.8249999999999993</v>
      </c>
      <c r="CN16" s="435">
        <f t="shared" si="31"/>
        <v>6.4799999999999995</v>
      </c>
      <c r="CO16" s="199"/>
      <c r="CP16" s="198">
        <f t="shared" si="26"/>
        <v>5.9331250000000004</v>
      </c>
      <c r="CQ16" s="198">
        <f t="shared" si="27"/>
        <v>4.8849999999999998</v>
      </c>
      <c r="CR16" s="198">
        <f t="shared" si="28"/>
        <v>6.4799999999999995</v>
      </c>
      <c r="CS16" s="208">
        <f t="shared" si="29"/>
        <v>5.7660416666666663</v>
      </c>
      <c r="CT16" s="61">
        <f t="shared" si="30"/>
        <v>6</v>
      </c>
    </row>
    <row r="17" spans="1:108" ht="18.75" x14ac:dyDescent="0.3">
      <c r="A17" s="209"/>
      <c r="B17" s="210"/>
      <c r="C17" s="211"/>
      <c r="D17" s="157"/>
      <c r="E17" s="157"/>
      <c r="F17" s="212"/>
      <c r="CA17" s="235"/>
      <c r="CB17" s="235"/>
      <c r="CC17" s="235"/>
      <c r="CF17" s="235"/>
      <c r="CG17" s="235"/>
      <c r="CH17" s="235"/>
      <c r="CI17" s="235"/>
      <c r="CJ17" s="235"/>
      <c r="CK17" s="235"/>
      <c r="CL17" s="235"/>
      <c r="CM17" s="235"/>
      <c r="CN17" s="235"/>
    </row>
    <row r="18" spans="1:108" x14ac:dyDescent="0.25">
      <c r="D18" s="157"/>
      <c r="E18" s="157"/>
    </row>
    <row r="19" spans="1:108" s="175" customFormat="1" x14ac:dyDescent="0.25">
      <c r="A19" s="156"/>
      <c r="B19" s="156"/>
      <c r="C19" s="156"/>
      <c r="D19" s="157"/>
      <c r="E19" s="157"/>
      <c r="F19" s="156"/>
      <c r="G19" s="156"/>
      <c r="H19" s="156"/>
      <c r="I19" s="156"/>
      <c r="J19" s="156"/>
      <c r="K19" s="213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8"/>
      <c r="BI19" s="156"/>
      <c r="BJ19" s="156"/>
      <c r="BK19" s="156"/>
      <c r="BL19" s="156"/>
      <c r="BM19" s="156"/>
      <c r="BN19" s="156"/>
      <c r="BO19" s="156"/>
      <c r="BP19" s="156"/>
      <c r="BQ19" s="158"/>
      <c r="BR19" s="156"/>
      <c r="BS19" s="156"/>
      <c r="BT19" s="156"/>
      <c r="BU19" s="156"/>
      <c r="BV19" s="156"/>
      <c r="BW19" s="156"/>
      <c r="BX19" s="156"/>
      <c r="BY19" s="156"/>
      <c r="BZ19" s="158"/>
      <c r="CA19" s="233"/>
      <c r="CB19" s="233"/>
      <c r="CC19" s="233"/>
      <c r="CD19" s="156"/>
      <c r="CE19" s="156"/>
      <c r="CF19" s="233"/>
      <c r="CG19" s="233"/>
      <c r="CH19" s="233"/>
      <c r="CI19" s="233"/>
      <c r="CJ19" s="233"/>
      <c r="CK19" s="233"/>
      <c r="CL19" s="233"/>
      <c r="CM19" s="233"/>
      <c r="CN19" s="233"/>
      <c r="CO19" s="158"/>
      <c r="CP19" s="156"/>
      <c r="CQ19" s="156"/>
      <c r="CR19" s="156"/>
      <c r="CS19" s="156"/>
      <c r="CT19" s="156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</row>
    <row r="20" spans="1:108" s="175" customFormat="1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8"/>
      <c r="BI20" s="156"/>
      <c r="BJ20" s="156"/>
      <c r="BK20" s="156"/>
      <c r="BL20" s="156"/>
      <c r="BM20" s="156"/>
      <c r="BN20" s="156"/>
      <c r="BO20" s="156"/>
      <c r="BP20" s="156"/>
      <c r="BQ20" s="158"/>
      <c r="BR20" s="156"/>
      <c r="BS20" s="156"/>
      <c r="BT20" s="156"/>
      <c r="BU20" s="156"/>
      <c r="BV20" s="156"/>
      <c r="BW20" s="156"/>
      <c r="BX20" s="156"/>
      <c r="BY20" s="156"/>
      <c r="BZ20" s="158"/>
      <c r="CA20" s="233"/>
      <c r="CB20" s="233"/>
      <c r="CC20" s="233"/>
      <c r="CD20" s="156"/>
      <c r="CE20" s="156"/>
      <c r="CF20" s="233"/>
      <c r="CG20" s="233"/>
      <c r="CH20" s="233"/>
      <c r="CI20" s="233"/>
      <c r="CJ20" s="233"/>
      <c r="CK20" s="233"/>
      <c r="CL20" s="233"/>
      <c r="CM20" s="233"/>
      <c r="CN20" s="233"/>
      <c r="CO20" s="158"/>
      <c r="CP20" s="156"/>
      <c r="CQ20" s="156"/>
      <c r="CR20" s="156"/>
      <c r="CS20" s="156"/>
      <c r="CT20" s="156"/>
    </row>
    <row r="21" spans="1:108" s="158" customFormat="1" ht="15.75" x14ac:dyDescent="0.25">
      <c r="A21" s="155"/>
      <c r="B21" s="173"/>
      <c r="C21" s="156"/>
      <c r="D21" s="156"/>
      <c r="E21" s="156"/>
      <c r="F21" s="173"/>
      <c r="H21" s="156"/>
      <c r="I21" s="173"/>
      <c r="J21" s="156"/>
      <c r="K21" s="156"/>
      <c r="L21" s="156"/>
      <c r="M21" s="173"/>
      <c r="N21" s="156"/>
      <c r="O21" s="156"/>
      <c r="P21" s="156"/>
      <c r="Q21" s="156"/>
      <c r="R21" s="156"/>
      <c r="S21" s="156"/>
      <c r="T21" s="173"/>
      <c r="U21" s="156"/>
      <c r="V21" s="156"/>
      <c r="W21" s="156"/>
      <c r="X21" s="156"/>
      <c r="Y21" s="156"/>
      <c r="Z21" s="156"/>
      <c r="AA21" s="173"/>
      <c r="AB21" s="156"/>
      <c r="AC21" s="156"/>
      <c r="AE21" s="156"/>
      <c r="AF21" s="156"/>
      <c r="AG21" s="156"/>
      <c r="AH21" s="156"/>
      <c r="AI21" s="156"/>
      <c r="AJ21" s="156"/>
      <c r="AK21" s="156"/>
      <c r="AL21" s="173"/>
      <c r="AM21" s="156"/>
      <c r="AN21" s="173"/>
      <c r="AO21" s="173"/>
      <c r="AP21" s="156"/>
      <c r="AQ21" s="156"/>
      <c r="AR21" s="173"/>
      <c r="AS21" s="156"/>
      <c r="AT21" s="173"/>
      <c r="AU21" s="173"/>
      <c r="AV21" s="156"/>
      <c r="AW21" s="156"/>
      <c r="AX21" s="173"/>
      <c r="AY21" s="156"/>
      <c r="AZ21" s="156"/>
      <c r="BB21" s="156"/>
      <c r="BC21" s="156"/>
      <c r="BD21" s="156"/>
      <c r="BE21" s="156"/>
      <c r="BF21" s="156"/>
      <c r="BG21" s="156"/>
      <c r="BI21" s="173"/>
      <c r="BJ21" s="156"/>
      <c r="BK21" s="156"/>
      <c r="BL21" s="156"/>
      <c r="BM21" s="156"/>
      <c r="BN21" s="156"/>
      <c r="BO21" s="173"/>
      <c r="BP21" s="173"/>
      <c r="BR21" s="173"/>
      <c r="BS21" s="156"/>
      <c r="BT21" s="156"/>
      <c r="BU21" s="156"/>
      <c r="BV21" s="156"/>
      <c r="BW21" s="156"/>
      <c r="BX21" s="173"/>
      <c r="BY21" s="173"/>
      <c r="CA21" s="233"/>
      <c r="CB21" s="233"/>
      <c r="CC21" s="233"/>
      <c r="CD21" s="156"/>
      <c r="CE21" s="156"/>
      <c r="CF21" s="233"/>
      <c r="CG21" s="233"/>
      <c r="CH21" s="233"/>
      <c r="CI21" s="233"/>
      <c r="CJ21" s="233"/>
      <c r="CK21" s="233"/>
      <c r="CL21" s="233"/>
      <c r="CM21" s="233"/>
      <c r="CN21" s="233"/>
      <c r="CP21" s="156"/>
      <c r="CQ21" s="156"/>
      <c r="CR21" s="156"/>
      <c r="CS21" s="156"/>
      <c r="CT21" s="156"/>
    </row>
    <row r="22" spans="1:108" s="158" customFormat="1" ht="15.75" x14ac:dyDescent="0.25">
      <c r="A22" s="162"/>
      <c r="B22" s="214"/>
      <c r="C22" s="156"/>
      <c r="D22" s="156"/>
      <c r="E22" s="156"/>
      <c r="F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R22" s="156"/>
      <c r="AS22" s="156"/>
      <c r="AT22" s="156"/>
      <c r="AU22" s="156"/>
      <c r="AV22" s="156"/>
      <c r="AX22" s="156"/>
      <c r="AY22" s="156"/>
      <c r="AZ22" s="156"/>
      <c r="BB22" s="156"/>
      <c r="BC22" s="156"/>
      <c r="BD22" s="156"/>
      <c r="BE22" s="156"/>
      <c r="BF22" s="156"/>
      <c r="BG22" s="156"/>
      <c r="BI22" s="156"/>
      <c r="BJ22" s="156"/>
      <c r="BK22" s="156"/>
      <c r="BL22" s="156"/>
      <c r="BM22" s="156"/>
      <c r="BN22" s="156"/>
      <c r="BO22" s="156"/>
      <c r="BP22" s="156"/>
      <c r="BR22" s="156"/>
      <c r="BS22" s="156"/>
      <c r="BT22" s="156"/>
      <c r="BU22" s="156"/>
      <c r="BV22" s="156"/>
      <c r="BW22" s="156"/>
      <c r="BX22" s="156"/>
      <c r="BY22" s="156"/>
      <c r="CA22" s="233"/>
      <c r="CB22" s="233"/>
      <c r="CC22" s="233"/>
      <c r="CD22" s="173"/>
      <c r="CE22" s="173"/>
      <c r="CF22" s="233"/>
      <c r="CG22" s="233"/>
      <c r="CH22" s="233"/>
      <c r="CI22" s="233"/>
      <c r="CJ22" s="233"/>
      <c r="CK22" s="233"/>
      <c r="CL22" s="233"/>
      <c r="CM22" s="233"/>
      <c r="CN22" s="233"/>
      <c r="CP22" s="173"/>
      <c r="CQ22" s="156"/>
      <c r="CR22" s="156"/>
      <c r="CS22" s="156"/>
      <c r="CT22" s="156"/>
    </row>
    <row r="23" spans="1:108" s="158" customFormat="1" x14ac:dyDescent="0.25">
      <c r="A23" s="156"/>
      <c r="B23" s="156"/>
      <c r="C23" s="156"/>
      <c r="D23" s="156"/>
      <c r="E23" s="156"/>
      <c r="F23" s="173"/>
      <c r="G23" s="156"/>
      <c r="H23" s="156"/>
      <c r="I23" s="156"/>
      <c r="J23" s="156"/>
      <c r="K23" s="159"/>
      <c r="L23" s="175"/>
      <c r="M23" s="176"/>
      <c r="N23" s="177"/>
      <c r="O23" s="177"/>
      <c r="P23" s="177"/>
      <c r="Q23" s="176"/>
      <c r="R23" s="156"/>
      <c r="T23" s="176"/>
      <c r="U23" s="177"/>
      <c r="V23" s="177"/>
      <c r="W23" s="177"/>
      <c r="X23" s="176"/>
      <c r="Y23" s="156"/>
      <c r="AA23" s="156"/>
      <c r="AB23" s="159"/>
      <c r="AC23" s="159"/>
      <c r="AD23" s="159"/>
      <c r="AE23" s="159"/>
      <c r="AF23" s="159"/>
      <c r="AG23" s="159"/>
      <c r="AH23" s="159"/>
      <c r="AI23" s="159"/>
      <c r="AJ23" s="159"/>
      <c r="AK23" s="175"/>
      <c r="AL23" s="173"/>
      <c r="AM23" s="156"/>
      <c r="AN23" s="177"/>
      <c r="AO23" s="173"/>
      <c r="AP23" s="156"/>
      <c r="AR23" s="173"/>
      <c r="AS23" s="156"/>
      <c r="AT23" s="177"/>
      <c r="AU23" s="173"/>
      <c r="AV23" s="156"/>
      <c r="AX23" s="156"/>
      <c r="AY23" s="159"/>
      <c r="AZ23" s="159"/>
      <c r="BA23" s="159"/>
      <c r="BB23" s="159"/>
      <c r="BC23" s="159"/>
      <c r="BD23" s="159"/>
      <c r="BE23" s="159"/>
      <c r="BF23" s="159"/>
      <c r="BG23" s="159"/>
      <c r="BI23" s="156"/>
      <c r="BJ23" s="156"/>
      <c r="BK23" s="156"/>
      <c r="BL23" s="156"/>
      <c r="BM23" s="156"/>
      <c r="BN23" s="156"/>
      <c r="BO23" s="156"/>
      <c r="BP23" s="156"/>
      <c r="BR23" s="156"/>
      <c r="BS23" s="156"/>
      <c r="BT23" s="156"/>
      <c r="BU23" s="156"/>
      <c r="BV23" s="156"/>
      <c r="BW23" s="156"/>
      <c r="BX23" s="156"/>
      <c r="BY23" s="156"/>
      <c r="CA23" s="233"/>
      <c r="CB23" s="233"/>
      <c r="CC23" s="233"/>
      <c r="CD23" s="156"/>
      <c r="CE23" s="156"/>
      <c r="CF23" s="233"/>
      <c r="CG23" s="233"/>
      <c r="CH23" s="233"/>
      <c r="CI23" s="233"/>
      <c r="CJ23" s="233"/>
      <c r="CK23" s="233"/>
      <c r="CL23" s="233"/>
      <c r="CM23" s="233"/>
      <c r="CN23" s="233"/>
      <c r="CP23" s="156"/>
      <c r="CQ23" s="156"/>
      <c r="CR23" s="156"/>
      <c r="CS23" s="179"/>
      <c r="CT23" s="180"/>
    </row>
    <row r="24" spans="1:108" s="158" customFormat="1" x14ac:dyDescent="0.25">
      <c r="A24" s="189"/>
      <c r="B24" s="189"/>
      <c r="C24" s="189"/>
      <c r="D24" s="189"/>
      <c r="E24" s="189"/>
      <c r="F24" s="191"/>
      <c r="G24" s="191"/>
      <c r="H24" s="191"/>
      <c r="I24" s="191"/>
      <c r="J24" s="191"/>
      <c r="K24" s="191"/>
      <c r="L24" s="189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89"/>
      <c r="AB24" s="189"/>
      <c r="AC24" s="189"/>
      <c r="AD24" s="215"/>
      <c r="AE24" s="216"/>
      <c r="AF24" s="216"/>
      <c r="AG24" s="215"/>
      <c r="AH24" s="215"/>
      <c r="AI24" s="189"/>
      <c r="AJ24" s="189"/>
      <c r="AK24" s="189"/>
      <c r="AL24" s="215"/>
      <c r="AM24" s="215"/>
      <c r="AN24" s="215"/>
      <c r="AO24" s="215"/>
      <c r="AP24" s="217"/>
      <c r="AQ24" s="189"/>
      <c r="AR24" s="215"/>
      <c r="AS24" s="215"/>
      <c r="AT24" s="215"/>
      <c r="AU24" s="215"/>
      <c r="AV24" s="217"/>
      <c r="AW24" s="189"/>
      <c r="AX24" s="189"/>
      <c r="AY24" s="189"/>
      <c r="AZ24" s="189"/>
      <c r="BA24" s="215"/>
      <c r="BB24" s="216"/>
      <c r="BC24" s="216"/>
      <c r="BD24" s="215"/>
      <c r="BE24" s="215"/>
      <c r="BF24" s="189"/>
      <c r="BG24" s="189"/>
      <c r="BH24" s="189"/>
      <c r="BI24" s="191"/>
      <c r="BJ24" s="191"/>
      <c r="BK24" s="191"/>
      <c r="BL24" s="191"/>
      <c r="BM24" s="191"/>
      <c r="BN24" s="191"/>
      <c r="BO24" s="189"/>
      <c r="BP24" s="189"/>
      <c r="BQ24" s="189"/>
      <c r="BR24" s="191"/>
      <c r="BS24" s="191"/>
      <c r="BT24" s="191"/>
      <c r="BU24" s="191"/>
      <c r="BV24" s="191"/>
      <c r="BW24" s="191"/>
      <c r="BX24" s="189"/>
      <c r="BY24" s="189"/>
      <c r="BZ24" s="189"/>
      <c r="CA24" s="233"/>
      <c r="CB24" s="233"/>
      <c r="CC24" s="233"/>
      <c r="CD24" s="218"/>
      <c r="CE24" s="218"/>
      <c r="CF24" s="233"/>
      <c r="CG24" s="233"/>
      <c r="CH24" s="233"/>
      <c r="CI24" s="233"/>
      <c r="CJ24" s="233"/>
      <c r="CK24" s="233"/>
      <c r="CL24" s="233"/>
      <c r="CM24" s="233"/>
      <c r="CN24" s="233"/>
      <c r="CO24" s="191"/>
      <c r="CP24" s="218"/>
      <c r="CQ24" s="218"/>
      <c r="CR24" s="218"/>
      <c r="CS24" s="218"/>
      <c r="CT24" s="218"/>
    </row>
    <row r="25" spans="1:108" s="158" customFormat="1" x14ac:dyDescent="0.25">
      <c r="A25" s="175"/>
      <c r="B25" s="175"/>
      <c r="C25" s="175"/>
      <c r="D25" s="175"/>
      <c r="E25" s="175"/>
      <c r="F25" s="196"/>
      <c r="G25" s="196"/>
      <c r="H25" s="196"/>
      <c r="I25" s="196"/>
      <c r="J25" s="196"/>
      <c r="K25" s="196"/>
      <c r="L25" s="175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94"/>
      <c r="AM25" s="194"/>
      <c r="AN25" s="194"/>
      <c r="AO25" s="194"/>
      <c r="AP25" s="194"/>
      <c r="AQ25" s="175"/>
      <c r="AR25" s="194"/>
      <c r="AS25" s="194"/>
      <c r="AT25" s="194"/>
      <c r="AU25" s="194"/>
      <c r="AV25" s="194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96"/>
      <c r="BJ25" s="196"/>
      <c r="BK25" s="196"/>
      <c r="BL25" s="196"/>
      <c r="BM25" s="196"/>
      <c r="BN25" s="196"/>
      <c r="BO25" s="175"/>
      <c r="BP25" s="175"/>
      <c r="BQ25" s="175"/>
      <c r="BR25" s="196"/>
      <c r="BS25" s="196"/>
      <c r="BT25" s="196"/>
      <c r="BU25" s="196"/>
      <c r="BV25" s="196"/>
      <c r="BW25" s="196"/>
      <c r="BX25" s="175"/>
      <c r="BY25" s="175"/>
      <c r="BZ25" s="175"/>
      <c r="CA25" s="233"/>
      <c r="CB25" s="233"/>
      <c r="CC25" s="233"/>
      <c r="CD25" s="219"/>
      <c r="CE25" s="219"/>
      <c r="CF25" s="233"/>
      <c r="CG25" s="233"/>
      <c r="CH25" s="233"/>
      <c r="CI25" s="233"/>
      <c r="CJ25" s="233"/>
      <c r="CK25" s="233"/>
      <c r="CL25" s="233"/>
      <c r="CM25" s="233"/>
      <c r="CN25" s="233"/>
      <c r="CO25" s="196"/>
      <c r="CP25" s="219"/>
      <c r="CQ25" s="219"/>
      <c r="CR25" s="219"/>
      <c r="CS25" s="219"/>
      <c r="CT25" s="219"/>
    </row>
    <row r="26" spans="1:108" x14ac:dyDescent="0.25">
      <c r="A26" s="220"/>
      <c r="B26" s="220"/>
      <c r="C26" s="220"/>
      <c r="D26" s="220"/>
      <c r="E26" s="220"/>
      <c r="F26" s="221"/>
      <c r="G26" s="221"/>
      <c r="H26" s="221"/>
      <c r="I26" s="221"/>
      <c r="J26" s="221"/>
      <c r="K26" s="222"/>
      <c r="L26" s="158"/>
      <c r="M26" s="221"/>
      <c r="N26" s="221"/>
      <c r="O26" s="221"/>
      <c r="P26" s="221"/>
      <c r="Q26" s="221"/>
      <c r="R26" s="222"/>
      <c r="S26" s="223"/>
      <c r="T26" s="221"/>
      <c r="U26" s="221"/>
      <c r="V26" s="221"/>
      <c r="W26" s="221"/>
      <c r="X26" s="221"/>
      <c r="Y26" s="222"/>
      <c r="Z26" s="223"/>
      <c r="AA26" s="221"/>
      <c r="AB26" s="221"/>
      <c r="AC26" s="221"/>
      <c r="AD26" s="221"/>
      <c r="AE26" s="221"/>
      <c r="AF26" s="221"/>
      <c r="AG26" s="221"/>
      <c r="AH26" s="221"/>
      <c r="AI26" s="223"/>
      <c r="AJ26" s="222"/>
      <c r="AK26" s="158"/>
      <c r="AL26" s="194"/>
      <c r="AM26" s="194"/>
      <c r="AN26" s="194"/>
      <c r="AO26" s="194"/>
      <c r="AP26" s="224"/>
      <c r="AQ26" s="223"/>
      <c r="AR26" s="194"/>
      <c r="AS26" s="194"/>
      <c r="AT26" s="194"/>
      <c r="AU26" s="194"/>
      <c r="AV26" s="224"/>
      <c r="AW26" s="223"/>
      <c r="AX26" s="221"/>
      <c r="AY26" s="221"/>
      <c r="AZ26" s="221"/>
      <c r="BA26" s="221"/>
      <c r="BB26" s="221"/>
      <c r="BC26" s="221"/>
      <c r="BD26" s="221"/>
      <c r="BE26" s="221"/>
      <c r="BF26" s="223"/>
      <c r="BG26" s="222"/>
      <c r="BI26" s="221"/>
      <c r="BJ26" s="221"/>
      <c r="BK26" s="221"/>
      <c r="BL26" s="221"/>
      <c r="BM26" s="221"/>
      <c r="BN26" s="222"/>
      <c r="BO26" s="223"/>
      <c r="BP26" s="222"/>
      <c r="BR26" s="221"/>
      <c r="BS26" s="221"/>
      <c r="BT26" s="221"/>
      <c r="BU26" s="221"/>
      <c r="BV26" s="221"/>
      <c r="BW26" s="222"/>
      <c r="BX26" s="223"/>
      <c r="BY26" s="222"/>
      <c r="CD26" s="222"/>
      <c r="CE26" s="222"/>
      <c r="CP26" s="222"/>
      <c r="CQ26" s="222"/>
      <c r="CR26" s="222"/>
      <c r="CS26" s="225"/>
      <c r="CT26" s="67"/>
    </row>
    <row r="27" spans="1:108" x14ac:dyDescent="0.25">
      <c r="A27" s="220"/>
      <c r="B27" s="220"/>
      <c r="C27" s="220"/>
      <c r="D27" s="220"/>
      <c r="E27" s="220"/>
      <c r="F27" s="221"/>
      <c r="G27" s="221"/>
      <c r="H27" s="221"/>
      <c r="I27" s="221"/>
      <c r="J27" s="221"/>
      <c r="K27" s="222"/>
      <c r="L27" s="158"/>
      <c r="M27" s="221"/>
      <c r="N27" s="221"/>
      <c r="O27" s="221"/>
      <c r="P27" s="221"/>
      <c r="Q27" s="221"/>
      <c r="R27" s="222"/>
      <c r="S27" s="223"/>
      <c r="T27" s="221"/>
      <c r="U27" s="221"/>
      <c r="V27" s="221"/>
      <c r="W27" s="221"/>
      <c r="X27" s="221"/>
      <c r="Y27" s="222"/>
      <c r="Z27" s="223"/>
      <c r="AA27" s="221"/>
      <c r="AB27" s="221"/>
      <c r="AC27" s="221"/>
      <c r="AD27" s="221"/>
      <c r="AE27" s="221"/>
      <c r="AF27" s="221"/>
      <c r="AG27" s="221"/>
      <c r="AH27" s="221"/>
      <c r="AI27" s="223"/>
      <c r="AJ27" s="222"/>
      <c r="AK27" s="158"/>
      <c r="AL27" s="194"/>
      <c r="AM27" s="194"/>
      <c r="AN27" s="194"/>
      <c r="AO27" s="194"/>
      <c r="AP27" s="224"/>
      <c r="AQ27" s="223"/>
      <c r="AR27" s="194"/>
      <c r="AS27" s="194"/>
      <c r="AT27" s="194"/>
      <c r="AU27" s="194"/>
      <c r="AV27" s="224"/>
      <c r="AW27" s="223"/>
      <c r="AX27" s="221"/>
      <c r="AY27" s="221"/>
      <c r="AZ27" s="221"/>
      <c r="BA27" s="221"/>
      <c r="BB27" s="221"/>
      <c r="BC27" s="221"/>
      <c r="BD27" s="221"/>
      <c r="BE27" s="221"/>
      <c r="BF27" s="223"/>
      <c r="BG27" s="222"/>
      <c r="BI27" s="221"/>
      <c r="BJ27" s="221"/>
      <c r="BK27" s="221"/>
      <c r="BL27" s="221"/>
      <c r="BM27" s="221"/>
      <c r="BN27" s="222"/>
      <c r="BO27" s="223"/>
      <c r="BP27" s="222"/>
      <c r="BR27" s="221"/>
      <c r="BS27" s="221"/>
      <c r="BT27" s="221"/>
      <c r="BU27" s="221"/>
      <c r="BV27" s="221"/>
      <c r="BW27" s="222"/>
      <c r="BX27" s="223"/>
      <c r="BY27" s="222"/>
      <c r="CD27" s="222"/>
      <c r="CE27" s="222"/>
      <c r="CP27" s="222"/>
      <c r="CQ27" s="222"/>
      <c r="CR27" s="222"/>
      <c r="CS27" s="225"/>
      <c r="CT27" s="67"/>
    </row>
    <row r="28" spans="1:108" x14ac:dyDescent="0.25">
      <c r="A28" s="220"/>
      <c r="B28" s="220"/>
      <c r="C28" s="220"/>
      <c r="D28" s="220"/>
      <c r="E28" s="220"/>
      <c r="F28" s="221"/>
      <c r="G28" s="221"/>
      <c r="H28" s="221"/>
      <c r="I28" s="221"/>
      <c r="J28" s="221"/>
      <c r="K28" s="222"/>
      <c r="L28" s="158"/>
      <c r="M28" s="221"/>
      <c r="N28" s="221"/>
      <c r="O28" s="221"/>
      <c r="P28" s="221"/>
      <c r="Q28" s="221"/>
      <c r="R28" s="222"/>
      <c r="S28" s="223"/>
      <c r="T28" s="221"/>
      <c r="U28" s="221"/>
      <c r="V28" s="221"/>
      <c r="W28" s="221"/>
      <c r="X28" s="221"/>
      <c r="Y28" s="222"/>
      <c r="Z28" s="223"/>
      <c r="AA28" s="221"/>
      <c r="AB28" s="221"/>
      <c r="AC28" s="221"/>
      <c r="AD28" s="221"/>
      <c r="AE28" s="221"/>
      <c r="AF28" s="221"/>
      <c r="AG28" s="221"/>
      <c r="AH28" s="221"/>
      <c r="AI28" s="223"/>
      <c r="AJ28" s="222"/>
      <c r="AK28" s="158"/>
      <c r="AL28" s="194"/>
      <c r="AM28" s="194"/>
      <c r="AN28" s="194"/>
      <c r="AO28" s="194"/>
      <c r="AP28" s="224"/>
      <c r="AQ28" s="223"/>
      <c r="AR28" s="194"/>
      <c r="AS28" s="194"/>
      <c r="AT28" s="194"/>
      <c r="AU28" s="194"/>
      <c r="AV28" s="224"/>
      <c r="AW28" s="223"/>
      <c r="AX28" s="221"/>
      <c r="AY28" s="221"/>
      <c r="AZ28" s="221"/>
      <c r="BA28" s="221"/>
      <c r="BB28" s="221"/>
      <c r="BC28" s="221"/>
      <c r="BD28" s="221"/>
      <c r="BE28" s="221"/>
      <c r="BF28" s="223"/>
      <c r="BG28" s="222"/>
      <c r="BI28" s="221"/>
      <c r="BJ28" s="221"/>
      <c r="BK28" s="221"/>
      <c r="BL28" s="221"/>
      <c r="BM28" s="221"/>
      <c r="BN28" s="222"/>
      <c r="BO28" s="223"/>
      <c r="BP28" s="222"/>
      <c r="BR28" s="221"/>
      <c r="BS28" s="221"/>
      <c r="BT28" s="221"/>
      <c r="BU28" s="221"/>
      <c r="BV28" s="221"/>
      <c r="BW28" s="222"/>
      <c r="BX28" s="223"/>
      <c r="BY28" s="222"/>
      <c r="CD28" s="222"/>
      <c r="CE28" s="222"/>
      <c r="CP28" s="222"/>
      <c r="CQ28" s="222"/>
      <c r="CR28" s="222"/>
      <c r="CS28" s="225"/>
      <c r="CT28" s="67"/>
    </row>
    <row r="29" spans="1:108" x14ac:dyDescent="0.25">
      <c r="A29" s="220"/>
      <c r="B29" s="220"/>
      <c r="C29" s="220"/>
      <c r="D29" s="220"/>
      <c r="E29" s="220"/>
      <c r="F29" s="221"/>
      <c r="G29" s="221"/>
      <c r="H29" s="221"/>
      <c r="I29" s="221"/>
      <c r="J29" s="221"/>
      <c r="K29" s="222"/>
      <c r="L29" s="158"/>
      <c r="M29" s="221"/>
      <c r="N29" s="221"/>
      <c r="O29" s="221"/>
      <c r="P29" s="221"/>
      <c r="Q29" s="221"/>
      <c r="R29" s="222"/>
      <c r="S29" s="223"/>
      <c r="T29" s="221"/>
      <c r="U29" s="221"/>
      <c r="V29" s="221"/>
      <c r="W29" s="221"/>
      <c r="X29" s="221"/>
      <c r="Y29" s="222"/>
      <c r="Z29" s="223"/>
      <c r="AA29" s="221"/>
      <c r="AB29" s="221"/>
      <c r="AC29" s="221"/>
      <c r="AD29" s="221"/>
      <c r="AE29" s="221"/>
      <c r="AF29" s="221"/>
      <c r="AG29" s="221"/>
      <c r="AH29" s="221"/>
      <c r="AI29" s="223"/>
      <c r="AJ29" s="222"/>
      <c r="AK29" s="158"/>
      <c r="AL29" s="194"/>
      <c r="AM29" s="194"/>
      <c r="AN29" s="194"/>
      <c r="AO29" s="194"/>
      <c r="AP29" s="224"/>
      <c r="AQ29" s="223"/>
      <c r="AR29" s="194"/>
      <c r="AS29" s="194"/>
      <c r="AT29" s="194"/>
      <c r="AU29" s="194"/>
      <c r="AV29" s="224"/>
      <c r="AW29" s="223"/>
      <c r="AX29" s="221"/>
      <c r="AY29" s="221"/>
      <c r="AZ29" s="221"/>
      <c r="BA29" s="221"/>
      <c r="BB29" s="221"/>
      <c r="BC29" s="221"/>
      <c r="BD29" s="221"/>
      <c r="BE29" s="221"/>
      <c r="BF29" s="223"/>
      <c r="BG29" s="222"/>
      <c r="BI29" s="221"/>
      <c r="BJ29" s="221"/>
      <c r="BK29" s="221"/>
      <c r="BL29" s="221"/>
      <c r="BM29" s="221"/>
      <c r="BN29" s="222"/>
      <c r="BO29" s="223"/>
      <c r="BP29" s="222"/>
      <c r="BR29" s="221"/>
      <c r="BS29" s="221"/>
      <c r="BT29" s="221"/>
      <c r="BU29" s="221"/>
      <c r="BV29" s="221"/>
      <c r="BW29" s="222"/>
      <c r="BX29" s="223"/>
      <c r="BY29" s="222"/>
      <c r="CD29" s="222"/>
      <c r="CE29" s="222"/>
      <c r="CP29" s="222"/>
      <c r="CQ29" s="222"/>
      <c r="CR29" s="222"/>
      <c r="CS29" s="225"/>
      <c r="CT29" s="67"/>
    </row>
    <row r="30" spans="1:108" x14ac:dyDescent="0.25">
      <c r="A30" s="220"/>
      <c r="B30" s="220"/>
      <c r="C30" s="220"/>
      <c r="D30" s="220"/>
      <c r="E30" s="220"/>
      <c r="F30" s="221"/>
      <c r="G30" s="221"/>
      <c r="H30" s="221"/>
      <c r="I30" s="221"/>
      <c r="J30" s="221"/>
      <c r="K30" s="222"/>
      <c r="L30" s="158"/>
      <c r="M30" s="221"/>
      <c r="N30" s="221"/>
      <c r="O30" s="221"/>
      <c r="P30" s="221"/>
      <c r="Q30" s="221"/>
      <c r="R30" s="222"/>
      <c r="S30" s="223"/>
      <c r="T30" s="221"/>
      <c r="U30" s="221"/>
      <c r="V30" s="221"/>
      <c r="W30" s="221"/>
      <c r="X30" s="221"/>
      <c r="Y30" s="222"/>
      <c r="Z30" s="223"/>
      <c r="AA30" s="221"/>
      <c r="AB30" s="221"/>
      <c r="AC30" s="221"/>
      <c r="AD30" s="221"/>
      <c r="AE30" s="221"/>
      <c r="AF30" s="221"/>
      <c r="AG30" s="221"/>
      <c r="AH30" s="221"/>
      <c r="AI30" s="223"/>
      <c r="AJ30" s="222"/>
      <c r="AK30" s="158"/>
      <c r="AL30" s="194"/>
      <c r="AM30" s="194"/>
      <c r="AN30" s="194"/>
      <c r="AO30" s="194"/>
      <c r="AP30" s="224"/>
      <c r="AQ30" s="223"/>
      <c r="AR30" s="194"/>
      <c r="AS30" s="194"/>
      <c r="AT30" s="194"/>
      <c r="AU30" s="194"/>
      <c r="AV30" s="224"/>
      <c r="AW30" s="223"/>
      <c r="AX30" s="221"/>
      <c r="AY30" s="221"/>
      <c r="AZ30" s="221"/>
      <c r="BA30" s="221"/>
      <c r="BB30" s="221"/>
      <c r="BC30" s="221"/>
      <c r="BD30" s="221"/>
      <c r="BE30" s="221"/>
      <c r="BF30" s="223"/>
      <c r="BG30" s="222"/>
      <c r="BI30" s="221"/>
      <c r="BJ30" s="221"/>
      <c r="BK30" s="221"/>
      <c r="BL30" s="221"/>
      <c r="BM30" s="221"/>
      <c r="BN30" s="222"/>
      <c r="BO30" s="223"/>
      <c r="BP30" s="222"/>
      <c r="BR30" s="221"/>
      <c r="BS30" s="221"/>
      <c r="BT30" s="221"/>
      <c r="BU30" s="221"/>
      <c r="BV30" s="221"/>
      <c r="BW30" s="222"/>
      <c r="BX30" s="223"/>
      <c r="BY30" s="222"/>
      <c r="CD30" s="222"/>
      <c r="CE30" s="222"/>
      <c r="CP30" s="222"/>
      <c r="CQ30" s="222"/>
      <c r="CR30" s="222"/>
      <c r="CS30" s="225"/>
      <c r="CT30" s="67"/>
    </row>
    <row r="36" spans="1:10" ht="15.75" x14ac:dyDescent="0.25">
      <c r="A36" s="155"/>
      <c r="B36" s="173"/>
    </row>
    <row r="37" spans="1:10" ht="15.75" x14ac:dyDescent="0.25">
      <c r="A37" s="162"/>
      <c r="B37" s="214"/>
    </row>
    <row r="39" spans="1:10" x14ac:dyDescent="0.25">
      <c r="A39" s="181"/>
      <c r="B39" s="181"/>
      <c r="C39" s="181"/>
      <c r="D39" s="181"/>
      <c r="E39" s="181"/>
      <c r="G39" s="173"/>
      <c r="H39" s="173"/>
      <c r="I39" s="173"/>
      <c r="J39" s="173"/>
    </row>
    <row r="40" spans="1:10" x14ac:dyDescent="0.25">
      <c r="A40" s="177"/>
      <c r="B40" s="177"/>
      <c r="C40" s="177"/>
      <c r="D40" s="177"/>
      <c r="E40" s="177"/>
    </row>
    <row r="41" spans="1:10" x14ac:dyDescent="0.25">
      <c r="A41" s="226"/>
      <c r="B41" s="226"/>
      <c r="C41" s="226"/>
      <c r="D41" s="226"/>
      <c r="E41" s="226"/>
      <c r="G41" s="227"/>
      <c r="H41" s="227"/>
      <c r="I41" s="227"/>
    </row>
    <row r="42" spans="1:10" x14ac:dyDescent="0.25">
      <c r="A42" s="226"/>
      <c r="B42" s="226"/>
      <c r="C42" s="226"/>
      <c r="D42" s="226"/>
      <c r="E42" s="226"/>
      <c r="G42" s="227"/>
      <c r="H42" s="227"/>
      <c r="I42" s="227"/>
    </row>
    <row r="43" spans="1:10" x14ac:dyDescent="0.25">
      <c r="A43" s="226"/>
      <c r="B43" s="226"/>
      <c r="C43" s="226"/>
      <c r="D43" s="226"/>
      <c r="E43" s="226"/>
      <c r="G43" s="227"/>
      <c r="H43" s="227"/>
      <c r="I43" s="227"/>
    </row>
    <row r="44" spans="1:10" x14ac:dyDescent="0.25">
      <c r="A44" s="226"/>
      <c r="B44" s="226"/>
      <c r="C44" s="226"/>
      <c r="D44" s="226"/>
      <c r="E44" s="226"/>
      <c r="G44" s="228"/>
      <c r="H44" s="228"/>
      <c r="I44" s="227"/>
    </row>
    <row r="45" spans="1:10" x14ac:dyDescent="0.25">
      <c r="A45" s="229"/>
      <c r="B45" s="229"/>
      <c r="C45" s="229"/>
      <c r="D45" s="229"/>
      <c r="E45" s="229"/>
      <c r="G45" s="227"/>
      <c r="H45" s="227"/>
      <c r="I45" s="227"/>
    </row>
    <row r="46" spans="1:10" x14ac:dyDescent="0.25">
      <c r="C46" s="226"/>
      <c r="D46" s="226"/>
      <c r="E46" s="226"/>
      <c r="G46" s="226"/>
      <c r="H46" s="226"/>
      <c r="I46" s="226"/>
      <c r="J46" s="226"/>
    </row>
    <row r="47" spans="1:10" x14ac:dyDescent="0.25">
      <c r="C47" s="226"/>
      <c r="D47" s="226"/>
      <c r="E47" s="226"/>
      <c r="G47" s="226"/>
      <c r="H47" s="226"/>
      <c r="I47" s="226"/>
      <c r="J47" s="226"/>
    </row>
    <row r="48" spans="1:10" x14ac:dyDescent="0.25">
      <c r="C48" s="226"/>
      <c r="D48" s="226"/>
      <c r="E48" s="226"/>
      <c r="G48" s="226"/>
      <c r="H48" s="226"/>
      <c r="I48" s="226"/>
      <c r="J48" s="226"/>
    </row>
    <row r="49" spans="3:10" x14ac:dyDescent="0.25">
      <c r="C49" s="226"/>
      <c r="D49" s="226"/>
      <c r="E49" s="226"/>
      <c r="G49" s="226"/>
      <c r="H49" s="226"/>
      <c r="I49" s="226"/>
      <c r="J49" s="226"/>
    </row>
  </sheetData>
  <sortState ref="A11:CT16">
    <sortCondition ref="CT11:CT16"/>
  </sortState>
  <mergeCells count="5">
    <mergeCell ref="A3:B3"/>
    <mergeCell ref="A1:B1"/>
    <mergeCell ref="CA7:CC7"/>
    <mergeCell ref="CF7:CH7"/>
    <mergeCell ref="CK7:CM7"/>
  </mergeCells>
  <pageMargins left="0.25" right="0.25" top="0.75" bottom="0.75" header="0.3" footer="0.3"/>
  <pageSetup paperSize="9" scale="63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25"/>
  <sheetViews>
    <sheetView workbookViewId="0">
      <pane xSplit="2" topLeftCell="C1" activePane="topRight" state="frozen"/>
      <selection pane="topRight" activeCell="A6" sqref="A6"/>
    </sheetView>
  </sheetViews>
  <sheetFormatPr defaultColWidth="9.140625" defaultRowHeight="15" x14ac:dyDescent="0.25"/>
  <cols>
    <col min="1" max="1" width="5.42578125" style="3" customWidth="1"/>
    <col min="2" max="2" width="18.85546875" style="3" customWidth="1"/>
    <col min="3" max="3" width="23.7109375" style="3" customWidth="1"/>
    <col min="4" max="4" width="15.28515625" style="3" customWidth="1"/>
    <col min="5" max="5" width="13.7109375" style="3" customWidth="1"/>
    <col min="6" max="6" width="10" style="3" customWidth="1"/>
    <col min="7" max="11" width="7.7109375" style="3" customWidth="1"/>
    <col min="12" max="12" width="3.28515625" style="3" customWidth="1"/>
    <col min="13" max="18" width="7.7109375" style="3" customWidth="1"/>
    <col min="19" max="19" width="3.28515625" style="3" customWidth="1"/>
    <col min="20" max="23" width="7.7109375" style="3" customWidth="1"/>
    <col min="24" max="24" width="7.7109375" style="5" customWidth="1"/>
    <col min="25" max="28" width="7.7109375" style="3" customWidth="1"/>
    <col min="29" max="29" width="3.140625" style="3" customWidth="1"/>
    <col min="30" max="30" width="7.7109375" style="3" customWidth="1"/>
    <col min="31" max="31" width="7.7109375" style="5" customWidth="1"/>
    <col min="32" max="32" width="9.42578125" style="3" customWidth="1"/>
    <col min="33" max="33" width="3.140625" style="3" customWidth="1"/>
    <col min="34" max="42" width="7.7109375" style="3" customWidth="1"/>
    <col min="43" max="43" width="3" style="3" customWidth="1"/>
    <col min="44" max="51" width="7.7109375" style="3" customWidth="1"/>
    <col min="52" max="52" width="2.7109375" style="5" customWidth="1"/>
    <col min="53" max="53" width="6.140625" style="5" customWidth="1"/>
    <col min="54" max="55" width="6.5703125" style="5" customWidth="1"/>
    <col min="56" max="58" width="7.7109375" style="233" customWidth="1"/>
    <col min="59" max="59" width="3.140625" style="233" customWidth="1"/>
    <col min="60" max="60" width="10.42578125" style="3" customWidth="1"/>
    <col min="61" max="61" width="2.7109375" style="5" customWidth="1"/>
    <col min="62" max="62" width="9.140625" style="3"/>
    <col min="63" max="63" width="3.140625" style="3" customWidth="1"/>
    <col min="64" max="64" width="9.140625" style="3"/>
    <col min="65" max="65" width="11.28515625" style="3" customWidth="1"/>
    <col min="66" max="16384" width="9.140625" style="3"/>
  </cols>
  <sheetData>
    <row r="1" spans="1:67" x14ac:dyDescent="0.25">
      <c r="A1" s="2" t="str">
        <f>CompDetail!A1</f>
        <v>NSW State Championships</v>
      </c>
      <c r="C1" s="3" t="s">
        <v>144</v>
      </c>
      <c r="D1" s="3" t="s">
        <v>17</v>
      </c>
      <c r="E1" s="4" t="s">
        <v>62</v>
      </c>
      <c r="G1" s="5"/>
      <c r="H1" s="6"/>
      <c r="I1" s="6"/>
      <c r="J1" s="6"/>
      <c r="K1" s="6"/>
      <c r="L1" s="6"/>
      <c r="T1" s="6"/>
      <c r="U1" s="6"/>
      <c r="V1" s="6"/>
      <c r="W1" s="5"/>
      <c r="X1" s="3"/>
      <c r="Z1" s="6"/>
      <c r="AA1" s="6"/>
      <c r="AB1" s="6"/>
      <c r="AC1" s="6"/>
      <c r="AE1" s="3"/>
      <c r="AH1" s="6"/>
      <c r="AI1" s="6"/>
      <c r="AJ1" s="6"/>
      <c r="AK1" s="5"/>
      <c r="AO1" s="6"/>
      <c r="AP1" s="6"/>
      <c r="AQ1" s="7"/>
      <c r="BM1" s="8">
        <f ca="1">NOW()</f>
        <v>43266.404079513886</v>
      </c>
    </row>
    <row r="2" spans="1:67" x14ac:dyDescent="0.25">
      <c r="A2" s="9"/>
      <c r="D2" s="4" t="s">
        <v>258</v>
      </c>
      <c r="E2" s="4" t="s">
        <v>259</v>
      </c>
      <c r="G2" s="5"/>
      <c r="W2" s="5"/>
      <c r="X2" s="3"/>
      <c r="AE2" s="3"/>
      <c r="AK2" s="5"/>
      <c r="AQ2" s="10"/>
      <c r="BM2" s="11">
        <f ca="1">NOW()</f>
        <v>43266.404079513886</v>
      </c>
    </row>
    <row r="3" spans="1:67" x14ac:dyDescent="0.25">
      <c r="A3" s="516" t="str">
        <f>CompDetail!A3</f>
        <v>June 9 to 11 2018</v>
      </c>
      <c r="B3" s="517"/>
      <c r="D3" s="4" t="s">
        <v>257</v>
      </c>
      <c r="E3" s="4" t="s">
        <v>258</v>
      </c>
      <c r="F3" s="12"/>
      <c r="G3" s="13"/>
      <c r="H3" s="12"/>
      <c r="I3" s="13"/>
      <c r="J3" s="13"/>
      <c r="K3" s="13"/>
      <c r="L3" s="5"/>
      <c r="M3" s="14"/>
      <c r="N3" s="14"/>
      <c r="O3" s="14"/>
      <c r="P3" s="14"/>
      <c r="Q3" s="14"/>
      <c r="R3" s="14"/>
      <c r="S3" s="5"/>
      <c r="T3" s="15"/>
      <c r="U3" s="16"/>
      <c r="V3" s="16"/>
      <c r="W3" s="16"/>
      <c r="X3" s="16"/>
      <c r="Y3" s="16"/>
      <c r="Z3" s="16"/>
      <c r="AA3" s="16"/>
      <c r="AB3" s="16"/>
      <c r="AC3" s="16"/>
      <c r="AD3" s="14"/>
      <c r="AE3" s="14"/>
      <c r="AF3" s="14"/>
      <c r="AG3" s="14"/>
      <c r="AH3" s="15"/>
      <c r="AI3" s="16"/>
      <c r="AJ3" s="16"/>
      <c r="AK3" s="16"/>
      <c r="AL3" s="16"/>
      <c r="AM3" s="16"/>
      <c r="AN3" s="16"/>
      <c r="AO3" s="16"/>
      <c r="AP3" s="16"/>
      <c r="AQ3" s="5"/>
      <c r="AR3" s="14"/>
      <c r="AS3" s="14"/>
      <c r="AT3" s="14"/>
      <c r="AU3" s="14"/>
      <c r="AV3" s="14"/>
      <c r="AW3" s="14"/>
      <c r="AX3" s="14"/>
      <c r="AY3" s="14"/>
    </row>
    <row r="4" spans="1:67" x14ac:dyDescent="0.25">
      <c r="A4" s="489"/>
      <c r="B4" s="490"/>
      <c r="D4" s="4" t="s">
        <v>259</v>
      </c>
      <c r="E4" s="4" t="s">
        <v>257</v>
      </c>
      <c r="F4" s="17" t="s">
        <v>31</v>
      </c>
      <c r="G4" s="18"/>
      <c r="H4" s="17"/>
      <c r="I4" s="18"/>
      <c r="J4" s="18"/>
      <c r="K4" s="18"/>
      <c r="M4" s="19" t="s">
        <v>20</v>
      </c>
      <c r="N4" s="19"/>
      <c r="O4" s="19"/>
      <c r="P4" s="19"/>
      <c r="Q4" s="19"/>
      <c r="R4" s="19"/>
      <c r="T4" s="20" t="s">
        <v>31</v>
      </c>
      <c r="U4" s="21"/>
      <c r="V4" s="21"/>
      <c r="W4" s="21"/>
      <c r="X4" s="21"/>
      <c r="Y4" s="21"/>
      <c r="Z4" s="21"/>
      <c r="AA4" s="21"/>
      <c r="AB4" s="21"/>
      <c r="AC4" s="16"/>
      <c r="AD4" s="19" t="s">
        <v>20</v>
      </c>
      <c r="AE4" s="19"/>
      <c r="AF4" s="19"/>
      <c r="AG4" s="14"/>
      <c r="AH4" s="20" t="s">
        <v>31</v>
      </c>
      <c r="AI4" s="21"/>
      <c r="AJ4" s="21"/>
      <c r="AK4" s="21"/>
      <c r="AL4" s="21"/>
      <c r="AM4" s="21"/>
      <c r="AN4" s="21"/>
      <c r="AO4" s="21"/>
      <c r="AP4" s="21"/>
      <c r="AQ4" s="5"/>
      <c r="AR4" s="19" t="s">
        <v>20</v>
      </c>
      <c r="AS4" s="19"/>
      <c r="AT4" s="19"/>
      <c r="AU4" s="19"/>
      <c r="AV4" s="19"/>
      <c r="AW4" s="19"/>
      <c r="AX4" s="19"/>
      <c r="AY4" s="19"/>
    </row>
    <row r="5" spans="1:67" x14ac:dyDescent="0.25">
      <c r="A5" s="9"/>
      <c r="D5" s="4"/>
      <c r="G5" s="5"/>
      <c r="W5" s="5"/>
      <c r="X5" s="3"/>
      <c r="AE5" s="3"/>
      <c r="AK5" s="5"/>
      <c r="AQ5" s="5"/>
    </row>
    <row r="6" spans="1:67" x14ac:dyDescent="0.25">
      <c r="A6" s="2" t="s">
        <v>81</v>
      </c>
      <c r="B6" s="9"/>
      <c r="F6" s="9" t="s">
        <v>58</v>
      </c>
      <c r="G6" s="5" t="str">
        <f>D2</f>
        <v>J Scott</v>
      </c>
      <c r="I6" s="9"/>
      <c r="M6" s="9" t="s">
        <v>58</v>
      </c>
      <c r="N6" s="3" t="s">
        <v>259</v>
      </c>
      <c r="T6" s="9" t="s">
        <v>57</v>
      </c>
      <c r="U6" s="3" t="s">
        <v>257</v>
      </c>
      <c r="W6" s="5"/>
      <c r="X6" s="3"/>
      <c r="AD6" s="9" t="s">
        <v>57</v>
      </c>
      <c r="AE6" s="3" t="s">
        <v>259</v>
      </c>
      <c r="AF6" s="9"/>
      <c r="AG6" s="9"/>
      <c r="AH6" s="9" t="s">
        <v>59</v>
      </c>
      <c r="AI6" s="3" t="s">
        <v>259</v>
      </c>
      <c r="AK6" s="5"/>
      <c r="AQ6" s="5"/>
      <c r="AR6" s="9" t="s">
        <v>59</v>
      </c>
      <c r="AS6" s="3" t="s">
        <v>257</v>
      </c>
      <c r="AX6" s="9"/>
      <c r="AY6" s="9"/>
      <c r="BH6" s="9" t="s">
        <v>21</v>
      </c>
    </row>
    <row r="7" spans="1:67" x14ac:dyDescent="0.25">
      <c r="A7" s="9" t="s">
        <v>64</v>
      </c>
      <c r="B7" s="9" t="s">
        <v>243</v>
      </c>
      <c r="C7" s="3" t="s">
        <v>86</v>
      </c>
      <c r="G7" s="5"/>
      <c r="S7" s="5"/>
      <c r="W7" s="5"/>
      <c r="X7" s="3"/>
      <c r="AE7" s="3"/>
      <c r="AK7" s="5"/>
      <c r="AQ7" s="5"/>
      <c r="BD7" s="486"/>
      <c r="BE7" s="486"/>
      <c r="BF7" s="486"/>
      <c r="BG7" s="486"/>
    </row>
    <row r="8" spans="1:67" x14ac:dyDescent="0.25">
      <c r="F8" s="22" t="s">
        <v>35</v>
      </c>
      <c r="K8" s="6"/>
      <c r="L8" s="23"/>
      <c r="M8" s="22" t="s">
        <v>35</v>
      </c>
      <c r="N8" s="24"/>
      <c r="O8" s="24"/>
      <c r="P8" s="24"/>
      <c r="Q8" s="22"/>
      <c r="S8" s="5"/>
      <c r="U8" s="6"/>
      <c r="V8" s="6"/>
      <c r="W8" s="6"/>
      <c r="X8" s="6"/>
      <c r="Y8" s="6"/>
      <c r="Z8" s="6"/>
      <c r="AA8" s="6"/>
      <c r="AB8" s="6"/>
      <c r="AC8" s="6"/>
      <c r="AD8" s="9"/>
      <c r="AE8" s="3" t="s">
        <v>19</v>
      </c>
      <c r="AF8" s="22" t="s">
        <v>22</v>
      </c>
      <c r="AI8" s="6"/>
      <c r="AJ8" s="6"/>
      <c r="AK8" s="6"/>
      <c r="AL8" s="6"/>
      <c r="AM8" s="6"/>
      <c r="AN8" s="6"/>
      <c r="AO8" s="6"/>
      <c r="AP8" s="6"/>
      <c r="AQ8" s="5"/>
      <c r="AY8" s="22" t="s">
        <v>56</v>
      </c>
      <c r="AZ8" s="336"/>
      <c r="BA8" s="518" t="s">
        <v>271</v>
      </c>
      <c r="BB8" s="518"/>
      <c r="BC8" s="518"/>
      <c r="BD8" s="519" t="s">
        <v>62</v>
      </c>
      <c r="BE8" s="519"/>
      <c r="BF8" s="519"/>
      <c r="BG8" s="455"/>
      <c r="BH8" s="25" t="s">
        <v>61</v>
      </c>
      <c r="BI8" s="26"/>
      <c r="BJ8" s="25" t="s">
        <v>62</v>
      </c>
      <c r="BK8" s="25"/>
      <c r="BL8" s="27" t="s">
        <v>63</v>
      </c>
      <c r="BM8" s="28"/>
    </row>
    <row r="9" spans="1:67" s="24" customFormat="1" x14ac:dyDescent="0.25">
      <c r="A9" s="29" t="s">
        <v>33</v>
      </c>
      <c r="B9" s="29" t="s">
        <v>34</v>
      </c>
      <c r="C9" s="29" t="s">
        <v>35</v>
      </c>
      <c r="D9" s="29" t="s">
        <v>36</v>
      </c>
      <c r="E9" s="29" t="s">
        <v>37</v>
      </c>
      <c r="F9" s="30" t="s">
        <v>7</v>
      </c>
      <c r="G9" s="30" t="s">
        <v>8</v>
      </c>
      <c r="H9" s="30" t="s">
        <v>9</v>
      </c>
      <c r="I9" s="30" t="s">
        <v>10</v>
      </c>
      <c r="J9" s="30" t="s">
        <v>11</v>
      </c>
      <c r="K9" s="30" t="s">
        <v>35</v>
      </c>
      <c r="L9" s="31"/>
      <c r="M9" s="30" t="s">
        <v>7</v>
      </c>
      <c r="N9" s="30" t="s">
        <v>8</v>
      </c>
      <c r="O9" s="30" t="s">
        <v>9</v>
      </c>
      <c r="P9" s="30" t="s">
        <v>10</v>
      </c>
      <c r="Q9" s="30" t="s">
        <v>11</v>
      </c>
      <c r="R9" s="30" t="s">
        <v>35</v>
      </c>
      <c r="S9" s="31"/>
      <c r="T9" s="29" t="s">
        <v>38</v>
      </c>
      <c r="U9" s="29" t="s">
        <v>39</v>
      </c>
      <c r="V9" s="29" t="s">
        <v>51</v>
      </c>
      <c r="W9" s="29" t="s">
        <v>48</v>
      </c>
      <c r="X9" s="29" t="s">
        <v>78</v>
      </c>
      <c r="Y9" s="29" t="s">
        <v>79</v>
      </c>
      <c r="Z9" s="29" t="s">
        <v>71</v>
      </c>
      <c r="AA9" s="29" t="s">
        <v>47</v>
      </c>
      <c r="AB9" s="29" t="s">
        <v>46</v>
      </c>
      <c r="AC9" s="31"/>
      <c r="AD9" s="29" t="s">
        <v>45</v>
      </c>
      <c r="AE9" s="29" t="s">
        <v>18</v>
      </c>
      <c r="AF9" s="32" t="s">
        <v>24</v>
      </c>
      <c r="AG9" s="31"/>
      <c r="AH9" s="29" t="s">
        <v>38</v>
      </c>
      <c r="AI9" s="29" t="s">
        <v>39</v>
      </c>
      <c r="AJ9" s="29" t="s">
        <v>51</v>
      </c>
      <c r="AK9" s="29" t="s">
        <v>48</v>
      </c>
      <c r="AL9" s="29" t="s">
        <v>78</v>
      </c>
      <c r="AM9" s="29" t="s">
        <v>79</v>
      </c>
      <c r="AN9" s="29" t="s">
        <v>82</v>
      </c>
      <c r="AO9" s="29" t="s">
        <v>47</v>
      </c>
      <c r="AP9" s="29" t="s">
        <v>46</v>
      </c>
      <c r="AQ9" s="31"/>
      <c r="AR9" s="30" t="s">
        <v>12</v>
      </c>
      <c r="AS9" s="30" t="s">
        <v>13</v>
      </c>
      <c r="AT9" s="30" t="s">
        <v>14</v>
      </c>
      <c r="AU9" s="30" t="s">
        <v>15</v>
      </c>
      <c r="AV9" s="30" t="s">
        <v>16</v>
      </c>
      <c r="AW9" s="30" t="s">
        <v>42</v>
      </c>
      <c r="AX9" s="29" t="s">
        <v>19</v>
      </c>
      <c r="AY9" s="32" t="s">
        <v>24</v>
      </c>
      <c r="AZ9" s="31"/>
      <c r="BA9" s="379" t="s">
        <v>101</v>
      </c>
      <c r="BB9" s="379" t="s">
        <v>102</v>
      </c>
      <c r="BC9" s="379" t="s">
        <v>103</v>
      </c>
      <c r="BD9" s="433" t="s">
        <v>101</v>
      </c>
      <c r="BE9" s="486" t="s">
        <v>102</v>
      </c>
      <c r="BF9" s="486" t="s">
        <v>103</v>
      </c>
      <c r="BG9" s="238"/>
      <c r="BH9" s="33" t="s">
        <v>41</v>
      </c>
      <c r="BI9" s="34"/>
      <c r="BJ9" s="35" t="s">
        <v>41</v>
      </c>
      <c r="BK9" s="35"/>
      <c r="BL9" s="35" t="s">
        <v>41</v>
      </c>
      <c r="BM9" s="36" t="s">
        <v>44</v>
      </c>
      <c r="BN9" s="29"/>
      <c r="BO9" s="29"/>
    </row>
    <row r="10" spans="1:67" s="24" customFormat="1" x14ac:dyDescent="0.25">
      <c r="F10" s="28"/>
      <c r="G10" s="28"/>
      <c r="H10" s="28"/>
      <c r="I10" s="28"/>
      <c r="J10" s="28"/>
      <c r="K10" s="28"/>
      <c r="L10" s="37"/>
      <c r="M10" s="28"/>
      <c r="N10" s="28"/>
      <c r="O10" s="28"/>
      <c r="P10" s="28"/>
      <c r="Q10" s="28"/>
      <c r="R10" s="28"/>
      <c r="S10" s="37"/>
      <c r="AC10" s="37"/>
      <c r="AG10" s="37"/>
      <c r="AQ10" s="37"/>
      <c r="AR10" s="28"/>
      <c r="AS10" s="28"/>
      <c r="AT10" s="28"/>
      <c r="AU10" s="28"/>
      <c r="AV10" s="28"/>
      <c r="AW10" s="28"/>
      <c r="AZ10" s="37"/>
      <c r="BA10" s="23"/>
      <c r="BB10" s="23"/>
      <c r="BC10" s="23"/>
      <c r="BD10" s="433"/>
      <c r="BE10" s="486"/>
      <c r="BF10" s="486"/>
      <c r="BG10" s="238"/>
      <c r="BH10" s="22"/>
      <c r="BI10" s="23"/>
      <c r="BJ10" s="38"/>
      <c r="BK10" s="38"/>
      <c r="BL10" s="38"/>
      <c r="BM10" s="38"/>
    </row>
    <row r="11" spans="1:67" x14ac:dyDescent="0.25">
      <c r="A11" s="313">
        <v>160</v>
      </c>
      <c r="B11" s="313" t="s">
        <v>171</v>
      </c>
      <c r="C11" s="313" t="s">
        <v>175</v>
      </c>
      <c r="D11" s="313" t="s">
        <v>176</v>
      </c>
      <c r="E11" s="313" t="s">
        <v>177</v>
      </c>
      <c r="F11" s="40">
        <v>6.5</v>
      </c>
      <c r="G11" s="40">
        <v>6</v>
      </c>
      <c r="H11" s="40">
        <v>7</v>
      </c>
      <c r="I11" s="40">
        <v>7</v>
      </c>
      <c r="J11" s="40">
        <v>8</v>
      </c>
      <c r="K11" s="43">
        <f t="shared" ref="K11:K25" si="0">SUM((F11*0.3),(G11*0.25),(H11*0.25),(I11*0.15),(J11*0.05))</f>
        <v>6.65</v>
      </c>
      <c r="L11" s="50"/>
      <c r="M11" s="40">
        <v>6</v>
      </c>
      <c r="N11" s="40">
        <v>6</v>
      </c>
      <c r="O11" s="40">
        <v>6.2</v>
      </c>
      <c r="P11" s="40">
        <v>7</v>
      </c>
      <c r="Q11" s="40">
        <v>7</v>
      </c>
      <c r="R11" s="43">
        <f t="shared" ref="R11:R25" si="1">SUM((M11*0.3),(N11*0.25),(O11*0.25),(P11*0.15),(Q11*0.05))</f>
        <v>6.2499999999999991</v>
      </c>
      <c r="S11" s="45"/>
      <c r="T11" s="40">
        <v>6</v>
      </c>
      <c r="U11" s="40">
        <v>6.5</v>
      </c>
      <c r="V11" s="40">
        <v>5.8</v>
      </c>
      <c r="W11" s="40">
        <v>6.7</v>
      </c>
      <c r="X11" s="40">
        <v>6.5</v>
      </c>
      <c r="Y11" s="40">
        <v>6.8</v>
      </c>
      <c r="Z11" s="40">
        <v>5.5</v>
      </c>
      <c r="AA11" s="44">
        <f t="shared" ref="AA11:AA25" si="2">SUM(T11:Z11)</f>
        <v>43.8</v>
      </c>
      <c r="AB11" s="43">
        <f t="shared" ref="AB11:AB25" si="3">AA11/7</f>
        <v>6.2571428571428571</v>
      </c>
      <c r="AC11" s="51"/>
      <c r="AD11" s="40">
        <f>10-27/9</f>
        <v>7</v>
      </c>
      <c r="AE11" s="41">
        <v>0</v>
      </c>
      <c r="AF11" s="43">
        <f t="shared" ref="AF11:AF25" si="4">AD11-AE11</f>
        <v>7</v>
      </c>
      <c r="AG11" s="45"/>
      <c r="AH11" s="40">
        <v>7.1</v>
      </c>
      <c r="AI11" s="40">
        <v>7</v>
      </c>
      <c r="AJ11" s="40">
        <v>7.5</v>
      </c>
      <c r="AK11" s="40">
        <v>7</v>
      </c>
      <c r="AL11" s="40">
        <v>6</v>
      </c>
      <c r="AM11" s="40">
        <v>7.2</v>
      </c>
      <c r="AN11" s="40">
        <v>5.5</v>
      </c>
      <c r="AO11" s="44">
        <f t="shared" ref="AO11:AO25" si="5">SUM(AH11:AN11)</f>
        <v>47.300000000000004</v>
      </c>
      <c r="AP11" s="43">
        <f t="shared" ref="AP11:AP25" si="6">AO11/7</f>
        <v>6.757142857142858</v>
      </c>
      <c r="AQ11" s="45"/>
      <c r="AR11" s="40">
        <v>5</v>
      </c>
      <c r="AS11" s="40">
        <v>6</v>
      </c>
      <c r="AT11" s="40">
        <v>6</v>
      </c>
      <c r="AU11" s="40">
        <v>3</v>
      </c>
      <c r="AV11" s="40">
        <v>3</v>
      </c>
      <c r="AW11" s="43">
        <f t="shared" ref="AW11:AW25" si="7">SUM((AR11*0.2),(AS11*0.15),(AT11*0.25),(AU11*0.2),(AV11*0.2))</f>
        <v>4.5999999999999996</v>
      </c>
      <c r="AX11" s="41">
        <v>0</v>
      </c>
      <c r="AY11" s="43">
        <f t="shared" ref="AY11:AY25" si="8">AW11-AX11</f>
        <v>4.5999999999999996</v>
      </c>
      <c r="AZ11" s="45"/>
      <c r="BA11" s="43">
        <f>K11</f>
        <v>6.65</v>
      </c>
      <c r="BB11" s="43">
        <f>AB11</f>
        <v>6.2571428571428571</v>
      </c>
      <c r="BC11" s="43">
        <f>AP11</f>
        <v>6.757142857142858</v>
      </c>
      <c r="BD11" s="454">
        <f>R11</f>
        <v>6.2499999999999991</v>
      </c>
      <c r="BE11" s="422">
        <f>AF11</f>
        <v>7</v>
      </c>
      <c r="BF11" s="422">
        <f>AY11</f>
        <v>4.5999999999999996</v>
      </c>
      <c r="BG11" s="456"/>
      <c r="BH11" s="423">
        <f t="shared" ref="BH11:BH25" si="9">SUM((K11*0.25)+(AP11*0.375)+(AB11*0.375))</f>
        <v>6.5428571428571427</v>
      </c>
      <c r="BI11" s="47"/>
      <c r="BJ11" s="46">
        <f t="shared" ref="BJ11:BJ25" si="10">SUM((R11*0.25),(AY11*0.25),(AF11*0.5))</f>
        <v>6.2124999999999995</v>
      </c>
      <c r="BK11" s="46"/>
      <c r="BL11" s="48">
        <f t="shared" ref="BL11:BL25" si="11">AVERAGE(BH11:BJ11)</f>
        <v>6.3776785714285715</v>
      </c>
      <c r="BM11" s="42">
        <f t="shared" ref="BM11:BM16" si="12">RANK(BL11,$BL$11:$BL$25)</f>
        <v>1</v>
      </c>
    </row>
    <row r="12" spans="1:67" x14ac:dyDescent="0.25">
      <c r="A12" s="313">
        <v>90</v>
      </c>
      <c r="B12" s="313" t="s">
        <v>128</v>
      </c>
      <c r="C12" s="313" t="s">
        <v>130</v>
      </c>
      <c r="D12" s="313" t="s">
        <v>131</v>
      </c>
      <c r="E12" s="313" t="s">
        <v>132</v>
      </c>
      <c r="F12" s="40">
        <v>7</v>
      </c>
      <c r="G12" s="40">
        <v>6</v>
      </c>
      <c r="H12" s="40">
        <v>7.5</v>
      </c>
      <c r="I12" s="40">
        <v>7</v>
      </c>
      <c r="J12" s="40">
        <v>7.5</v>
      </c>
      <c r="K12" s="43">
        <f t="shared" si="0"/>
        <v>6.8999999999999995</v>
      </c>
      <c r="L12" s="50"/>
      <c r="M12" s="40">
        <v>7</v>
      </c>
      <c r="N12" s="40">
        <v>7</v>
      </c>
      <c r="O12" s="40">
        <v>7.5</v>
      </c>
      <c r="P12" s="40">
        <v>7.5</v>
      </c>
      <c r="Q12" s="40">
        <v>8</v>
      </c>
      <c r="R12" s="43">
        <f t="shared" si="1"/>
        <v>7.25</v>
      </c>
      <c r="S12" s="45"/>
      <c r="T12" s="40">
        <v>4.8</v>
      </c>
      <c r="U12" s="40">
        <v>6</v>
      </c>
      <c r="V12" s="40">
        <v>7</v>
      </c>
      <c r="W12" s="40">
        <v>6</v>
      </c>
      <c r="X12" s="40">
        <v>6.5</v>
      </c>
      <c r="Y12" s="40">
        <v>6.5</v>
      </c>
      <c r="Z12" s="40">
        <v>5.5</v>
      </c>
      <c r="AA12" s="44">
        <f t="shared" si="2"/>
        <v>42.3</v>
      </c>
      <c r="AB12" s="43">
        <f t="shared" si="3"/>
        <v>6.0428571428571427</v>
      </c>
      <c r="AC12" s="51"/>
      <c r="AD12" s="40">
        <f>10-23/8</f>
        <v>7.125</v>
      </c>
      <c r="AE12" s="41">
        <v>0</v>
      </c>
      <c r="AF12" s="43">
        <f t="shared" si="4"/>
        <v>7.125</v>
      </c>
      <c r="AG12" s="45"/>
      <c r="AH12" s="40">
        <v>6</v>
      </c>
      <c r="AI12" s="40">
        <v>6.5</v>
      </c>
      <c r="AJ12" s="40">
        <v>6</v>
      </c>
      <c r="AK12" s="40">
        <v>8</v>
      </c>
      <c r="AL12" s="40">
        <v>5.2</v>
      </c>
      <c r="AM12" s="40">
        <v>6</v>
      </c>
      <c r="AN12" s="40">
        <v>5</v>
      </c>
      <c r="AO12" s="44">
        <f t="shared" si="5"/>
        <v>42.7</v>
      </c>
      <c r="AP12" s="43">
        <f t="shared" si="6"/>
        <v>6.1000000000000005</v>
      </c>
      <c r="AQ12" s="45"/>
      <c r="AR12" s="40">
        <v>5</v>
      </c>
      <c r="AS12" s="40">
        <v>6</v>
      </c>
      <c r="AT12" s="40">
        <v>5</v>
      </c>
      <c r="AU12" s="40">
        <v>3.2</v>
      </c>
      <c r="AV12" s="40">
        <v>3</v>
      </c>
      <c r="AW12" s="43">
        <f t="shared" si="7"/>
        <v>4.3900000000000006</v>
      </c>
      <c r="AX12" s="41">
        <v>0</v>
      </c>
      <c r="AY12" s="43">
        <f t="shared" si="8"/>
        <v>4.3900000000000006</v>
      </c>
      <c r="AZ12" s="45"/>
      <c r="BA12" s="43">
        <f t="shared" ref="BA12:BA25" si="13">K12</f>
        <v>6.8999999999999995</v>
      </c>
      <c r="BB12" s="43">
        <f t="shared" ref="BB12:BB25" si="14">AB12</f>
        <v>6.0428571428571427</v>
      </c>
      <c r="BC12" s="43">
        <f t="shared" ref="BC12:BC25" si="15">AP12</f>
        <v>6.1000000000000005</v>
      </c>
      <c r="BD12" s="454">
        <f t="shared" ref="BD12:BD25" si="16">R12</f>
        <v>7.25</v>
      </c>
      <c r="BE12" s="422">
        <f t="shared" ref="BE12:BE25" si="17">AF12</f>
        <v>7.125</v>
      </c>
      <c r="BF12" s="422">
        <f t="shared" ref="BF12:BF25" si="18">AY12</f>
        <v>4.3900000000000006</v>
      </c>
      <c r="BG12" s="456"/>
      <c r="BH12" s="423">
        <f t="shared" si="9"/>
        <v>6.2785714285714285</v>
      </c>
      <c r="BI12" s="47"/>
      <c r="BJ12" s="46">
        <f t="shared" si="10"/>
        <v>6.4725000000000001</v>
      </c>
      <c r="BK12" s="46"/>
      <c r="BL12" s="48">
        <f t="shared" si="11"/>
        <v>6.3755357142857143</v>
      </c>
      <c r="BM12" s="42">
        <f t="shared" si="12"/>
        <v>2</v>
      </c>
    </row>
    <row r="13" spans="1:67" x14ac:dyDescent="0.25">
      <c r="A13" s="313">
        <v>99</v>
      </c>
      <c r="B13" s="313" t="s">
        <v>133</v>
      </c>
      <c r="C13" s="313" t="s">
        <v>139</v>
      </c>
      <c r="D13" s="313" t="s">
        <v>140</v>
      </c>
      <c r="E13" s="313" t="s">
        <v>141</v>
      </c>
      <c r="F13" s="40">
        <v>8</v>
      </c>
      <c r="G13" s="40">
        <v>7.5</v>
      </c>
      <c r="H13" s="40">
        <v>9</v>
      </c>
      <c r="I13" s="40">
        <v>8</v>
      </c>
      <c r="J13" s="40">
        <v>7.5</v>
      </c>
      <c r="K13" s="43">
        <f t="shared" si="0"/>
        <v>8.1000000000000014</v>
      </c>
      <c r="L13" s="50"/>
      <c r="M13" s="40">
        <v>9</v>
      </c>
      <c r="N13" s="40">
        <v>8.5</v>
      </c>
      <c r="O13" s="40">
        <v>9</v>
      </c>
      <c r="P13" s="40">
        <v>9</v>
      </c>
      <c r="Q13" s="40">
        <v>7</v>
      </c>
      <c r="R13" s="43">
        <f t="shared" si="1"/>
        <v>8.7749999999999986</v>
      </c>
      <c r="S13" s="45"/>
      <c r="T13" s="40">
        <v>6.2</v>
      </c>
      <c r="U13" s="40">
        <v>6</v>
      </c>
      <c r="V13" s="40">
        <v>6</v>
      </c>
      <c r="W13" s="40">
        <v>0</v>
      </c>
      <c r="X13" s="40">
        <v>6.5</v>
      </c>
      <c r="Y13" s="40">
        <v>5.8</v>
      </c>
      <c r="Z13" s="40">
        <v>5.8</v>
      </c>
      <c r="AA13" s="44">
        <f t="shared" si="2"/>
        <v>36.299999999999997</v>
      </c>
      <c r="AB13" s="43">
        <f t="shared" si="3"/>
        <v>5.1857142857142851</v>
      </c>
      <c r="AC13" s="51"/>
      <c r="AD13" s="40">
        <f>10-24/8</f>
        <v>7</v>
      </c>
      <c r="AE13" s="41">
        <v>0</v>
      </c>
      <c r="AF13" s="43">
        <f t="shared" si="4"/>
        <v>7</v>
      </c>
      <c r="AG13" s="45"/>
      <c r="AH13" s="40">
        <v>5.2</v>
      </c>
      <c r="AI13" s="40">
        <v>7</v>
      </c>
      <c r="AJ13" s="40">
        <v>5.5</v>
      </c>
      <c r="AK13" s="40">
        <v>0</v>
      </c>
      <c r="AL13" s="40">
        <v>5.2</v>
      </c>
      <c r="AM13" s="40">
        <v>5.5</v>
      </c>
      <c r="AN13" s="40">
        <v>7</v>
      </c>
      <c r="AO13" s="44">
        <f t="shared" si="5"/>
        <v>35.4</v>
      </c>
      <c r="AP13" s="43">
        <f t="shared" si="6"/>
        <v>5.0571428571428569</v>
      </c>
      <c r="AQ13" s="45"/>
      <c r="AR13" s="40">
        <v>5</v>
      </c>
      <c r="AS13" s="40">
        <v>6</v>
      </c>
      <c r="AT13" s="40">
        <v>5.5</v>
      </c>
      <c r="AU13" s="40">
        <v>3</v>
      </c>
      <c r="AV13" s="40">
        <v>3</v>
      </c>
      <c r="AW13" s="43">
        <f t="shared" si="7"/>
        <v>4.4749999999999996</v>
      </c>
      <c r="AX13" s="41">
        <v>0</v>
      </c>
      <c r="AY13" s="43">
        <f t="shared" si="8"/>
        <v>4.4749999999999996</v>
      </c>
      <c r="AZ13" s="45"/>
      <c r="BA13" s="43">
        <f t="shared" si="13"/>
        <v>8.1000000000000014</v>
      </c>
      <c r="BB13" s="43">
        <f t="shared" si="14"/>
        <v>5.1857142857142851</v>
      </c>
      <c r="BC13" s="43">
        <f t="shared" si="15"/>
        <v>5.0571428571428569</v>
      </c>
      <c r="BD13" s="454">
        <f t="shared" si="16"/>
        <v>8.7749999999999986</v>
      </c>
      <c r="BE13" s="422">
        <f t="shared" si="17"/>
        <v>7</v>
      </c>
      <c r="BF13" s="422">
        <f t="shared" si="18"/>
        <v>4.4749999999999996</v>
      </c>
      <c r="BG13" s="456"/>
      <c r="BH13" s="423">
        <f t="shared" si="9"/>
        <v>5.8660714285714288</v>
      </c>
      <c r="BI13" s="47"/>
      <c r="BJ13" s="46">
        <f t="shared" si="10"/>
        <v>6.8125</v>
      </c>
      <c r="BK13" s="46"/>
      <c r="BL13" s="48">
        <f t="shared" si="11"/>
        <v>6.3392857142857144</v>
      </c>
      <c r="BM13" s="42">
        <f t="shared" si="12"/>
        <v>3</v>
      </c>
    </row>
    <row r="14" spans="1:67" x14ac:dyDescent="0.25">
      <c r="A14" s="313">
        <v>88</v>
      </c>
      <c r="B14" s="313" t="s">
        <v>124</v>
      </c>
      <c r="C14" s="313" t="s">
        <v>130</v>
      </c>
      <c r="D14" s="313" t="s">
        <v>131</v>
      </c>
      <c r="E14" s="313" t="s">
        <v>132</v>
      </c>
      <c r="F14" s="40">
        <v>7.5</v>
      </c>
      <c r="G14" s="40">
        <v>6</v>
      </c>
      <c r="H14" s="40">
        <v>7.5</v>
      </c>
      <c r="I14" s="40">
        <v>6.5</v>
      </c>
      <c r="J14" s="40">
        <v>7.5</v>
      </c>
      <c r="K14" s="43">
        <f t="shared" si="0"/>
        <v>6.9749999999999996</v>
      </c>
      <c r="L14" s="50"/>
      <c r="M14" s="40">
        <v>7.5</v>
      </c>
      <c r="N14" s="40">
        <v>7.5</v>
      </c>
      <c r="O14" s="40">
        <v>8</v>
      </c>
      <c r="P14" s="40">
        <v>7.5</v>
      </c>
      <c r="Q14" s="40">
        <v>8</v>
      </c>
      <c r="R14" s="43">
        <f t="shared" si="1"/>
        <v>7.65</v>
      </c>
      <c r="S14" s="45"/>
      <c r="T14" s="40">
        <v>4.5</v>
      </c>
      <c r="U14" s="40">
        <v>5.3</v>
      </c>
      <c r="V14" s="40">
        <v>5.3</v>
      </c>
      <c r="W14" s="40">
        <v>6</v>
      </c>
      <c r="X14" s="40">
        <v>6</v>
      </c>
      <c r="Y14" s="40">
        <v>5.8</v>
      </c>
      <c r="Z14" s="40">
        <v>5</v>
      </c>
      <c r="AA14" s="44">
        <f t="shared" si="2"/>
        <v>37.9</v>
      </c>
      <c r="AB14" s="43">
        <f t="shared" si="3"/>
        <v>5.4142857142857137</v>
      </c>
      <c r="AC14" s="51"/>
      <c r="AD14" s="40">
        <f>10-28/10</f>
        <v>7.2</v>
      </c>
      <c r="AE14" s="41">
        <v>0</v>
      </c>
      <c r="AF14" s="43">
        <f t="shared" si="4"/>
        <v>7.2</v>
      </c>
      <c r="AG14" s="45"/>
      <c r="AH14" s="40">
        <v>5.5</v>
      </c>
      <c r="AI14" s="40">
        <v>7</v>
      </c>
      <c r="AJ14" s="40">
        <v>5.5</v>
      </c>
      <c r="AK14" s="40">
        <v>9</v>
      </c>
      <c r="AL14" s="40">
        <v>5.5</v>
      </c>
      <c r="AM14" s="40">
        <v>5</v>
      </c>
      <c r="AN14" s="40">
        <v>5</v>
      </c>
      <c r="AO14" s="44">
        <f t="shared" si="5"/>
        <v>42.5</v>
      </c>
      <c r="AP14" s="43">
        <f t="shared" si="6"/>
        <v>6.0714285714285712</v>
      </c>
      <c r="AQ14" s="45"/>
      <c r="AR14" s="40">
        <v>6</v>
      </c>
      <c r="AS14" s="40">
        <v>5</v>
      </c>
      <c r="AT14" s="40">
        <v>4.8</v>
      </c>
      <c r="AU14" s="40">
        <v>3.5</v>
      </c>
      <c r="AV14" s="40">
        <v>3</v>
      </c>
      <c r="AW14" s="43">
        <f t="shared" si="7"/>
        <v>4.4500000000000011</v>
      </c>
      <c r="AX14" s="41">
        <v>0</v>
      </c>
      <c r="AY14" s="43">
        <f t="shared" si="8"/>
        <v>4.4500000000000011</v>
      </c>
      <c r="AZ14" s="45"/>
      <c r="BA14" s="43">
        <f t="shared" si="13"/>
        <v>6.9749999999999996</v>
      </c>
      <c r="BB14" s="43">
        <f t="shared" si="14"/>
        <v>5.4142857142857137</v>
      </c>
      <c r="BC14" s="43">
        <f t="shared" si="15"/>
        <v>6.0714285714285712</v>
      </c>
      <c r="BD14" s="454">
        <f t="shared" si="16"/>
        <v>7.65</v>
      </c>
      <c r="BE14" s="422">
        <f t="shared" si="17"/>
        <v>7.2</v>
      </c>
      <c r="BF14" s="422">
        <f t="shared" si="18"/>
        <v>4.4500000000000011</v>
      </c>
      <c r="BG14" s="456"/>
      <c r="BH14" s="423">
        <f t="shared" si="9"/>
        <v>6.0508928571428564</v>
      </c>
      <c r="BI14" s="47"/>
      <c r="BJ14" s="46">
        <f t="shared" si="10"/>
        <v>6.625</v>
      </c>
      <c r="BK14" s="46"/>
      <c r="BL14" s="48">
        <f t="shared" si="11"/>
        <v>6.3379464285714278</v>
      </c>
      <c r="BM14" s="42">
        <f t="shared" si="12"/>
        <v>4</v>
      </c>
    </row>
    <row r="15" spans="1:67" x14ac:dyDescent="0.25">
      <c r="A15" s="313">
        <v>149</v>
      </c>
      <c r="B15" s="313" t="s">
        <v>136</v>
      </c>
      <c r="C15" s="313" t="s">
        <v>139</v>
      </c>
      <c r="D15" s="424" t="s">
        <v>137</v>
      </c>
      <c r="E15" s="313" t="s">
        <v>116</v>
      </c>
      <c r="F15" s="40">
        <v>7</v>
      </c>
      <c r="G15" s="40">
        <v>7.5</v>
      </c>
      <c r="H15" s="40">
        <v>8</v>
      </c>
      <c r="I15" s="40">
        <v>6.5</v>
      </c>
      <c r="J15" s="40">
        <v>7</v>
      </c>
      <c r="K15" s="43">
        <f t="shared" si="0"/>
        <v>7.2999999999999989</v>
      </c>
      <c r="L15" s="50"/>
      <c r="M15" s="40">
        <v>7</v>
      </c>
      <c r="N15" s="40">
        <v>7</v>
      </c>
      <c r="O15" s="40">
        <v>7</v>
      </c>
      <c r="P15" s="40">
        <v>7</v>
      </c>
      <c r="Q15" s="40">
        <v>8</v>
      </c>
      <c r="R15" s="43">
        <f t="shared" si="1"/>
        <v>7.05</v>
      </c>
      <c r="S15" s="45"/>
      <c r="T15" s="40">
        <v>4.5</v>
      </c>
      <c r="U15" s="40">
        <v>6</v>
      </c>
      <c r="V15" s="40">
        <v>6</v>
      </c>
      <c r="W15" s="40">
        <v>5.5</v>
      </c>
      <c r="X15" s="40">
        <v>6.9</v>
      </c>
      <c r="Y15" s="40">
        <v>6.3</v>
      </c>
      <c r="Z15" s="40">
        <v>5.8</v>
      </c>
      <c r="AA15" s="44">
        <f t="shared" si="2"/>
        <v>40.999999999999993</v>
      </c>
      <c r="AB15" s="43">
        <f t="shared" si="3"/>
        <v>5.8571428571428559</v>
      </c>
      <c r="AC15" s="51"/>
      <c r="AD15" s="40">
        <f>10-23/8</f>
        <v>7.125</v>
      </c>
      <c r="AE15" s="41">
        <v>0</v>
      </c>
      <c r="AF15" s="43">
        <f t="shared" si="4"/>
        <v>7.125</v>
      </c>
      <c r="AG15" s="45"/>
      <c r="AH15" s="40">
        <v>4.2</v>
      </c>
      <c r="AI15" s="40">
        <v>5</v>
      </c>
      <c r="AJ15" s="40">
        <v>5</v>
      </c>
      <c r="AK15" s="40">
        <v>5</v>
      </c>
      <c r="AL15" s="40">
        <v>5.4</v>
      </c>
      <c r="AM15" s="40">
        <v>6</v>
      </c>
      <c r="AN15" s="40">
        <v>5.5</v>
      </c>
      <c r="AO15" s="44">
        <f t="shared" si="5"/>
        <v>36.1</v>
      </c>
      <c r="AP15" s="43">
        <f t="shared" si="6"/>
        <v>5.1571428571428575</v>
      </c>
      <c r="AQ15" s="45"/>
      <c r="AR15" s="40">
        <v>7</v>
      </c>
      <c r="AS15" s="40">
        <v>5</v>
      </c>
      <c r="AT15" s="40">
        <v>5</v>
      </c>
      <c r="AU15" s="40">
        <v>3</v>
      </c>
      <c r="AV15" s="40">
        <v>3</v>
      </c>
      <c r="AW15" s="43">
        <f t="shared" si="7"/>
        <v>4.5999999999999996</v>
      </c>
      <c r="AX15" s="41">
        <v>0</v>
      </c>
      <c r="AY15" s="43">
        <f t="shared" si="8"/>
        <v>4.5999999999999996</v>
      </c>
      <c r="AZ15" s="45"/>
      <c r="BA15" s="43">
        <f t="shared" si="13"/>
        <v>7.2999999999999989</v>
      </c>
      <c r="BB15" s="43">
        <f t="shared" si="14"/>
        <v>5.8571428571428559</v>
      </c>
      <c r="BC15" s="43">
        <f t="shared" si="15"/>
        <v>5.1571428571428575</v>
      </c>
      <c r="BD15" s="454">
        <f t="shared" si="16"/>
        <v>7.05</v>
      </c>
      <c r="BE15" s="422">
        <f t="shared" si="17"/>
        <v>7.125</v>
      </c>
      <c r="BF15" s="422">
        <f t="shared" si="18"/>
        <v>4.5999999999999996</v>
      </c>
      <c r="BG15" s="456"/>
      <c r="BH15" s="423">
        <f t="shared" si="9"/>
        <v>5.9553571428571423</v>
      </c>
      <c r="BI15" s="47"/>
      <c r="BJ15" s="46">
        <f t="shared" si="10"/>
        <v>6.4749999999999996</v>
      </c>
      <c r="BK15" s="46"/>
      <c r="BL15" s="48">
        <f t="shared" si="11"/>
        <v>6.215178571428571</v>
      </c>
      <c r="BM15" s="42">
        <f t="shared" si="12"/>
        <v>5</v>
      </c>
    </row>
    <row r="16" spans="1:67" x14ac:dyDescent="0.25">
      <c r="A16" s="313">
        <v>92</v>
      </c>
      <c r="B16" s="313" t="s">
        <v>129</v>
      </c>
      <c r="C16" s="313" t="s">
        <v>130</v>
      </c>
      <c r="D16" s="313" t="s">
        <v>131</v>
      </c>
      <c r="E16" s="313" t="s">
        <v>132</v>
      </c>
      <c r="F16" s="40">
        <v>7</v>
      </c>
      <c r="G16" s="40">
        <v>6</v>
      </c>
      <c r="H16" s="40">
        <v>7.5</v>
      </c>
      <c r="I16" s="40">
        <v>7</v>
      </c>
      <c r="J16" s="40">
        <v>7.5</v>
      </c>
      <c r="K16" s="43">
        <f t="shared" si="0"/>
        <v>6.8999999999999995</v>
      </c>
      <c r="L16" s="50"/>
      <c r="M16" s="40">
        <v>7</v>
      </c>
      <c r="N16" s="40">
        <v>7</v>
      </c>
      <c r="O16" s="40">
        <v>7.5</v>
      </c>
      <c r="P16" s="40">
        <v>7.5</v>
      </c>
      <c r="Q16" s="40">
        <v>8</v>
      </c>
      <c r="R16" s="43">
        <f t="shared" si="1"/>
        <v>7.25</v>
      </c>
      <c r="S16" s="45"/>
      <c r="T16" s="40">
        <v>4.5</v>
      </c>
      <c r="U16" s="40">
        <v>5.5</v>
      </c>
      <c r="V16" s="40">
        <v>5.8</v>
      </c>
      <c r="W16" s="40">
        <v>6</v>
      </c>
      <c r="X16" s="40">
        <v>5.5</v>
      </c>
      <c r="Y16" s="40">
        <v>5.8</v>
      </c>
      <c r="Z16" s="40">
        <v>5.3</v>
      </c>
      <c r="AA16" s="44">
        <f t="shared" si="2"/>
        <v>38.4</v>
      </c>
      <c r="AB16" s="43">
        <f t="shared" si="3"/>
        <v>5.4857142857142858</v>
      </c>
      <c r="AC16" s="51"/>
      <c r="AD16" s="40">
        <f>10-24/8</f>
        <v>7</v>
      </c>
      <c r="AE16" s="41">
        <v>0.4</v>
      </c>
      <c r="AF16" s="43">
        <f t="shared" si="4"/>
        <v>6.6</v>
      </c>
      <c r="AG16" s="45"/>
      <c r="AH16" s="40">
        <v>5.5</v>
      </c>
      <c r="AI16" s="40">
        <v>6</v>
      </c>
      <c r="AJ16" s="40">
        <v>6.5</v>
      </c>
      <c r="AK16" s="40">
        <v>7</v>
      </c>
      <c r="AL16" s="40">
        <v>5</v>
      </c>
      <c r="AM16" s="40">
        <v>5.5</v>
      </c>
      <c r="AN16" s="40">
        <v>6</v>
      </c>
      <c r="AO16" s="44">
        <f t="shared" si="5"/>
        <v>41.5</v>
      </c>
      <c r="AP16" s="43">
        <f t="shared" si="6"/>
        <v>5.9285714285714288</v>
      </c>
      <c r="AQ16" s="45"/>
      <c r="AR16" s="40">
        <v>6</v>
      </c>
      <c r="AS16" s="40">
        <v>6</v>
      </c>
      <c r="AT16" s="40">
        <v>5.5</v>
      </c>
      <c r="AU16" s="40">
        <v>4.3</v>
      </c>
      <c r="AV16" s="40">
        <v>3</v>
      </c>
      <c r="AW16" s="43">
        <f t="shared" si="7"/>
        <v>4.9350000000000005</v>
      </c>
      <c r="AX16" s="41">
        <v>0</v>
      </c>
      <c r="AY16" s="43">
        <f t="shared" si="8"/>
        <v>4.9350000000000005</v>
      </c>
      <c r="AZ16" s="45"/>
      <c r="BA16" s="43">
        <f t="shared" si="13"/>
        <v>6.8999999999999995</v>
      </c>
      <c r="BB16" s="43">
        <f t="shared" si="14"/>
        <v>5.4857142857142858</v>
      </c>
      <c r="BC16" s="43">
        <f t="shared" si="15"/>
        <v>5.9285714285714288</v>
      </c>
      <c r="BD16" s="454">
        <f t="shared" si="16"/>
        <v>7.25</v>
      </c>
      <c r="BE16" s="422">
        <f t="shared" si="17"/>
        <v>6.6</v>
      </c>
      <c r="BF16" s="422">
        <f t="shared" si="18"/>
        <v>4.9350000000000005</v>
      </c>
      <c r="BG16" s="456"/>
      <c r="BH16" s="423">
        <f t="shared" si="9"/>
        <v>6.0053571428571422</v>
      </c>
      <c r="BI16" s="47"/>
      <c r="BJ16" s="46">
        <f t="shared" si="10"/>
        <v>6.3462499999999995</v>
      </c>
      <c r="BK16" s="46"/>
      <c r="BL16" s="48">
        <f t="shared" si="11"/>
        <v>6.1758035714285704</v>
      </c>
      <c r="BM16" s="42">
        <f t="shared" si="12"/>
        <v>6</v>
      </c>
    </row>
    <row r="17" spans="1:65" x14ac:dyDescent="0.25">
      <c r="A17" s="313">
        <v>139</v>
      </c>
      <c r="B17" s="313" t="s">
        <v>148</v>
      </c>
      <c r="C17" s="313" t="s">
        <v>197</v>
      </c>
      <c r="D17" s="313" t="s">
        <v>152</v>
      </c>
      <c r="E17" s="313" t="s">
        <v>153</v>
      </c>
      <c r="F17" s="40">
        <v>6</v>
      </c>
      <c r="G17" s="40">
        <v>6</v>
      </c>
      <c r="H17" s="40">
        <v>7</v>
      </c>
      <c r="I17" s="40">
        <v>6.5</v>
      </c>
      <c r="J17" s="40">
        <v>5.5</v>
      </c>
      <c r="K17" s="43">
        <f t="shared" si="0"/>
        <v>6.3</v>
      </c>
      <c r="L17" s="50"/>
      <c r="M17" s="40">
        <v>6.5</v>
      </c>
      <c r="N17" s="40">
        <v>6.5</v>
      </c>
      <c r="O17" s="40">
        <v>7</v>
      </c>
      <c r="P17" s="40">
        <v>7</v>
      </c>
      <c r="Q17" s="40">
        <v>7</v>
      </c>
      <c r="R17" s="43">
        <f t="shared" si="1"/>
        <v>6.7249999999999996</v>
      </c>
      <c r="S17" s="45"/>
      <c r="T17" s="40">
        <v>4.9000000000000004</v>
      </c>
      <c r="U17" s="40">
        <v>6.8</v>
      </c>
      <c r="V17" s="40">
        <v>6.5</v>
      </c>
      <c r="W17" s="40">
        <v>3.8</v>
      </c>
      <c r="X17" s="40">
        <v>5.5</v>
      </c>
      <c r="Y17" s="40">
        <v>5.8</v>
      </c>
      <c r="Z17" s="40">
        <v>4</v>
      </c>
      <c r="AA17" s="44">
        <f t="shared" si="2"/>
        <v>37.299999999999997</v>
      </c>
      <c r="AB17" s="43">
        <f t="shared" si="3"/>
        <v>5.3285714285714283</v>
      </c>
      <c r="AC17" s="51"/>
      <c r="AD17" s="40">
        <f>10-32/12</f>
        <v>7.3333333333333339</v>
      </c>
      <c r="AE17" s="41">
        <v>0</v>
      </c>
      <c r="AF17" s="43">
        <f t="shared" si="4"/>
        <v>7.3333333333333339</v>
      </c>
      <c r="AG17" s="45"/>
      <c r="AH17" s="40">
        <v>6</v>
      </c>
      <c r="AI17" s="40">
        <v>8</v>
      </c>
      <c r="AJ17" s="40">
        <v>6.5</v>
      </c>
      <c r="AK17" s="40">
        <v>6</v>
      </c>
      <c r="AL17" s="40">
        <v>5.5</v>
      </c>
      <c r="AM17" s="40">
        <v>5.8</v>
      </c>
      <c r="AN17" s="40">
        <v>4</v>
      </c>
      <c r="AO17" s="44">
        <f t="shared" si="5"/>
        <v>41.8</v>
      </c>
      <c r="AP17" s="43">
        <f t="shared" si="6"/>
        <v>5.9714285714285706</v>
      </c>
      <c r="AQ17" s="45"/>
      <c r="AR17" s="40">
        <v>4.7</v>
      </c>
      <c r="AS17" s="40">
        <v>5</v>
      </c>
      <c r="AT17" s="40">
        <v>5.5</v>
      </c>
      <c r="AU17" s="40">
        <v>4.5</v>
      </c>
      <c r="AV17" s="40">
        <v>3</v>
      </c>
      <c r="AW17" s="43">
        <f t="shared" si="7"/>
        <v>4.5649999999999995</v>
      </c>
      <c r="AX17" s="41">
        <v>0</v>
      </c>
      <c r="AY17" s="43">
        <f t="shared" si="8"/>
        <v>4.5649999999999995</v>
      </c>
      <c r="AZ17" s="45"/>
      <c r="BA17" s="43">
        <f t="shared" si="13"/>
        <v>6.3</v>
      </c>
      <c r="BB17" s="43">
        <f t="shared" si="14"/>
        <v>5.3285714285714283</v>
      </c>
      <c r="BC17" s="43">
        <f t="shared" si="15"/>
        <v>5.9714285714285706</v>
      </c>
      <c r="BD17" s="454">
        <f t="shared" si="16"/>
        <v>6.7249999999999996</v>
      </c>
      <c r="BE17" s="422">
        <f t="shared" si="17"/>
        <v>7.3333333333333339</v>
      </c>
      <c r="BF17" s="422">
        <f t="shared" si="18"/>
        <v>4.5649999999999995</v>
      </c>
      <c r="BG17" s="456"/>
      <c r="BH17" s="423">
        <f t="shared" si="9"/>
        <v>5.8125</v>
      </c>
      <c r="BI17" s="47"/>
      <c r="BJ17" s="46">
        <f t="shared" si="10"/>
        <v>6.4891666666666667</v>
      </c>
      <c r="BK17" s="46"/>
      <c r="BL17" s="48">
        <f t="shared" si="11"/>
        <v>6.1508333333333329</v>
      </c>
      <c r="BM17" s="42"/>
    </row>
    <row r="18" spans="1:65" x14ac:dyDescent="0.25">
      <c r="A18" s="313">
        <v>118</v>
      </c>
      <c r="B18" s="313" t="s">
        <v>119</v>
      </c>
      <c r="C18" s="313" t="s">
        <v>198</v>
      </c>
      <c r="D18" s="313" t="s">
        <v>199</v>
      </c>
      <c r="E18" s="313" t="s">
        <v>120</v>
      </c>
      <c r="F18" s="40">
        <v>6.5</v>
      </c>
      <c r="G18" s="40">
        <v>6.5</v>
      </c>
      <c r="H18" s="40">
        <v>5.5</v>
      </c>
      <c r="I18" s="40">
        <v>8</v>
      </c>
      <c r="J18" s="40">
        <v>8</v>
      </c>
      <c r="K18" s="43">
        <f t="shared" si="0"/>
        <v>6.5500000000000007</v>
      </c>
      <c r="L18" s="50"/>
      <c r="M18" s="40">
        <v>6</v>
      </c>
      <c r="N18" s="40">
        <v>6.2</v>
      </c>
      <c r="O18" s="40">
        <v>6.5</v>
      </c>
      <c r="P18" s="40">
        <v>8</v>
      </c>
      <c r="Q18" s="40">
        <v>8</v>
      </c>
      <c r="R18" s="43">
        <f t="shared" si="1"/>
        <v>6.5750000000000002</v>
      </c>
      <c r="S18" s="45"/>
      <c r="T18" s="40">
        <v>4.8</v>
      </c>
      <c r="U18" s="40">
        <v>6.5</v>
      </c>
      <c r="V18" s="40">
        <v>6.8</v>
      </c>
      <c r="W18" s="40">
        <v>6.9</v>
      </c>
      <c r="X18" s="40">
        <v>6</v>
      </c>
      <c r="Y18" s="40">
        <v>6</v>
      </c>
      <c r="Z18" s="40">
        <v>5.8</v>
      </c>
      <c r="AA18" s="44">
        <f t="shared" si="2"/>
        <v>42.8</v>
      </c>
      <c r="AB18" s="43">
        <f t="shared" si="3"/>
        <v>6.1142857142857139</v>
      </c>
      <c r="AC18" s="51"/>
      <c r="AD18" s="40">
        <f>10-29/9</f>
        <v>6.7777777777777777</v>
      </c>
      <c r="AE18" s="41">
        <v>0</v>
      </c>
      <c r="AF18" s="43">
        <f t="shared" si="4"/>
        <v>6.7777777777777777</v>
      </c>
      <c r="AG18" s="45"/>
      <c r="AH18" s="40">
        <v>5.2</v>
      </c>
      <c r="AI18" s="40">
        <v>7</v>
      </c>
      <c r="AJ18" s="40">
        <v>6.2</v>
      </c>
      <c r="AK18" s="40">
        <v>7</v>
      </c>
      <c r="AL18" s="40">
        <v>5</v>
      </c>
      <c r="AM18" s="40">
        <v>5</v>
      </c>
      <c r="AN18" s="40">
        <v>4.5</v>
      </c>
      <c r="AO18" s="44">
        <f t="shared" si="5"/>
        <v>39.9</v>
      </c>
      <c r="AP18" s="43">
        <f t="shared" si="6"/>
        <v>5.7</v>
      </c>
      <c r="AQ18" s="45"/>
      <c r="AR18" s="40">
        <v>7</v>
      </c>
      <c r="AS18" s="40">
        <v>7</v>
      </c>
      <c r="AT18" s="40">
        <v>4.5</v>
      </c>
      <c r="AU18" s="40">
        <v>3</v>
      </c>
      <c r="AV18" s="40">
        <v>3</v>
      </c>
      <c r="AW18" s="43">
        <f t="shared" si="7"/>
        <v>4.7750000000000004</v>
      </c>
      <c r="AX18" s="41">
        <v>0</v>
      </c>
      <c r="AY18" s="43">
        <f t="shared" si="8"/>
        <v>4.7750000000000004</v>
      </c>
      <c r="AZ18" s="45"/>
      <c r="BA18" s="43">
        <f t="shared" si="13"/>
        <v>6.5500000000000007</v>
      </c>
      <c r="BB18" s="43">
        <f t="shared" si="14"/>
        <v>6.1142857142857139</v>
      </c>
      <c r="BC18" s="43">
        <f t="shared" si="15"/>
        <v>5.7</v>
      </c>
      <c r="BD18" s="454">
        <f t="shared" si="16"/>
        <v>6.5750000000000002</v>
      </c>
      <c r="BE18" s="422">
        <f t="shared" si="17"/>
        <v>6.7777777777777777</v>
      </c>
      <c r="BF18" s="422">
        <f t="shared" si="18"/>
        <v>4.7750000000000004</v>
      </c>
      <c r="BG18" s="456"/>
      <c r="BH18" s="423">
        <f t="shared" si="9"/>
        <v>6.0678571428571431</v>
      </c>
      <c r="BI18" s="47"/>
      <c r="BJ18" s="46">
        <f t="shared" si="10"/>
        <v>6.2263888888888896</v>
      </c>
      <c r="BK18" s="46"/>
      <c r="BL18" s="48">
        <f t="shared" si="11"/>
        <v>6.1471230158730163</v>
      </c>
      <c r="BM18" s="42"/>
    </row>
    <row r="19" spans="1:65" x14ac:dyDescent="0.25">
      <c r="A19" s="313">
        <v>143</v>
      </c>
      <c r="B19" s="313" t="s">
        <v>135</v>
      </c>
      <c r="C19" s="313" t="s">
        <v>139</v>
      </c>
      <c r="D19" s="424" t="s">
        <v>137</v>
      </c>
      <c r="E19" s="313" t="s">
        <v>116</v>
      </c>
      <c r="F19" s="40">
        <v>7.5</v>
      </c>
      <c r="G19" s="40">
        <v>7.5</v>
      </c>
      <c r="H19" s="40">
        <v>6.5</v>
      </c>
      <c r="I19" s="40">
        <v>6.5</v>
      </c>
      <c r="J19" s="40">
        <v>7</v>
      </c>
      <c r="K19" s="43">
        <f t="shared" si="0"/>
        <v>7.0749999999999993</v>
      </c>
      <c r="L19" s="50"/>
      <c r="M19" s="40">
        <v>7</v>
      </c>
      <c r="N19" s="40">
        <v>7</v>
      </c>
      <c r="O19" s="40">
        <v>7</v>
      </c>
      <c r="P19" s="40">
        <v>7</v>
      </c>
      <c r="Q19" s="40">
        <v>8</v>
      </c>
      <c r="R19" s="43">
        <f t="shared" si="1"/>
        <v>7.05</v>
      </c>
      <c r="S19" s="45"/>
      <c r="T19" s="40">
        <v>5</v>
      </c>
      <c r="U19" s="40">
        <v>6</v>
      </c>
      <c r="V19" s="40">
        <v>5.3</v>
      </c>
      <c r="W19" s="40">
        <v>3</v>
      </c>
      <c r="X19" s="40">
        <v>6</v>
      </c>
      <c r="Y19" s="40">
        <v>5</v>
      </c>
      <c r="Z19" s="40">
        <v>5.3</v>
      </c>
      <c r="AA19" s="44">
        <f t="shared" si="2"/>
        <v>35.6</v>
      </c>
      <c r="AB19" s="43">
        <f t="shared" si="3"/>
        <v>5.0857142857142863</v>
      </c>
      <c r="AC19" s="51"/>
      <c r="AD19" s="40">
        <f>10-25/10</f>
        <v>7.5</v>
      </c>
      <c r="AE19" s="41">
        <v>0</v>
      </c>
      <c r="AF19" s="43">
        <f t="shared" si="4"/>
        <v>7.5</v>
      </c>
      <c r="AG19" s="45"/>
      <c r="AH19" s="40">
        <v>5.2</v>
      </c>
      <c r="AI19" s="40">
        <v>6</v>
      </c>
      <c r="AJ19" s="40">
        <v>5.8</v>
      </c>
      <c r="AK19" s="40">
        <v>4.2</v>
      </c>
      <c r="AL19" s="40">
        <v>5.5</v>
      </c>
      <c r="AM19" s="40">
        <v>4</v>
      </c>
      <c r="AN19" s="40">
        <v>5.2</v>
      </c>
      <c r="AO19" s="44">
        <f t="shared" si="5"/>
        <v>35.9</v>
      </c>
      <c r="AP19" s="43">
        <f t="shared" si="6"/>
        <v>5.1285714285714281</v>
      </c>
      <c r="AQ19" s="45"/>
      <c r="AR19" s="40">
        <v>4.3</v>
      </c>
      <c r="AS19" s="40">
        <v>3</v>
      </c>
      <c r="AT19" s="40">
        <v>4.8</v>
      </c>
      <c r="AU19" s="40">
        <v>5.5</v>
      </c>
      <c r="AV19" s="40">
        <v>3.5</v>
      </c>
      <c r="AW19" s="43">
        <f t="shared" si="7"/>
        <v>4.3099999999999996</v>
      </c>
      <c r="AX19" s="41">
        <v>0</v>
      </c>
      <c r="AY19" s="43">
        <f t="shared" si="8"/>
        <v>4.3099999999999996</v>
      </c>
      <c r="AZ19" s="45"/>
      <c r="BA19" s="43">
        <f t="shared" si="13"/>
        <v>7.0749999999999993</v>
      </c>
      <c r="BB19" s="43">
        <f t="shared" si="14"/>
        <v>5.0857142857142863</v>
      </c>
      <c r="BC19" s="43">
        <f t="shared" si="15"/>
        <v>5.1285714285714281</v>
      </c>
      <c r="BD19" s="454">
        <f t="shared" si="16"/>
        <v>7.05</v>
      </c>
      <c r="BE19" s="422">
        <f t="shared" si="17"/>
        <v>7.5</v>
      </c>
      <c r="BF19" s="422">
        <f t="shared" si="18"/>
        <v>4.3099999999999996</v>
      </c>
      <c r="BG19" s="456"/>
      <c r="BH19" s="423">
        <f t="shared" si="9"/>
        <v>5.5991071428571431</v>
      </c>
      <c r="BI19" s="47"/>
      <c r="BJ19" s="46">
        <f t="shared" si="10"/>
        <v>6.59</v>
      </c>
      <c r="BK19" s="46"/>
      <c r="BL19" s="48">
        <f t="shared" si="11"/>
        <v>6.0945535714285715</v>
      </c>
      <c r="BM19" s="42"/>
    </row>
    <row r="20" spans="1:65" x14ac:dyDescent="0.25">
      <c r="A20" s="313">
        <v>160</v>
      </c>
      <c r="B20" s="388" t="s">
        <v>195</v>
      </c>
      <c r="C20" s="313" t="s">
        <v>175</v>
      </c>
      <c r="D20" s="313" t="s">
        <v>176</v>
      </c>
      <c r="E20" s="388" t="s">
        <v>196</v>
      </c>
      <c r="F20" s="40">
        <v>7</v>
      </c>
      <c r="G20" s="40">
        <v>5.5</v>
      </c>
      <c r="H20" s="40">
        <v>7</v>
      </c>
      <c r="I20" s="40">
        <v>7</v>
      </c>
      <c r="J20" s="40">
        <v>8</v>
      </c>
      <c r="K20" s="43">
        <f t="shared" si="0"/>
        <v>6.6749999999999998</v>
      </c>
      <c r="L20" s="50"/>
      <c r="M20" s="40">
        <v>5.8</v>
      </c>
      <c r="N20" s="40">
        <v>6</v>
      </c>
      <c r="O20" s="40">
        <v>6.5</v>
      </c>
      <c r="P20" s="40">
        <v>6.5</v>
      </c>
      <c r="Q20" s="40">
        <v>7</v>
      </c>
      <c r="R20" s="43">
        <f t="shared" si="1"/>
        <v>6.1899999999999995</v>
      </c>
      <c r="S20" s="45"/>
      <c r="T20" s="40">
        <v>4.7</v>
      </c>
      <c r="U20" s="40">
        <v>6</v>
      </c>
      <c r="V20" s="40">
        <v>6.8</v>
      </c>
      <c r="W20" s="40">
        <v>5.8</v>
      </c>
      <c r="X20" s="40">
        <v>5</v>
      </c>
      <c r="Y20" s="40">
        <v>6</v>
      </c>
      <c r="Z20" s="40">
        <v>4.8</v>
      </c>
      <c r="AA20" s="44">
        <f t="shared" si="2"/>
        <v>39.099999999999994</v>
      </c>
      <c r="AB20" s="43">
        <f t="shared" si="3"/>
        <v>5.5857142857142845</v>
      </c>
      <c r="AC20" s="51"/>
      <c r="AD20" s="40">
        <v>7.1</v>
      </c>
      <c r="AE20" s="41">
        <v>0.4</v>
      </c>
      <c r="AF20" s="43">
        <f t="shared" si="4"/>
        <v>6.6999999999999993</v>
      </c>
      <c r="AG20" s="45"/>
      <c r="AH20" s="40">
        <v>3.8</v>
      </c>
      <c r="AI20" s="40">
        <v>5.2</v>
      </c>
      <c r="AJ20" s="40">
        <v>6</v>
      </c>
      <c r="AK20" s="40">
        <v>7.5</v>
      </c>
      <c r="AL20" s="40">
        <v>5.5</v>
      </c>
      <c r="AM20" s="40">
        <v>5.8</v>
      </c>
      <c r="AN20" s="40">
        <v>4</v>
      </c>
      <c r="AO20" s="44">
        <f t="shared" si="5"/>
        <v>37.799999999999997</v>
      </c>
      <c r="AP20" s="43">
        <f t="shared" si="6"/>
        <v>5.3999999999999995</v>
      </c>
      <c r="AQ20" s="45"/>
      <c r="AR20" s="40">
        <v>5.8</v>
      </c>
      <c r="AS20" s="40">
        <v>5</v>
      </c>
      <c r="AT20" s="40">
        <v>6</v>
      </c>
      <c r="AU20" s="40">
        <v>3</v>
      </c>
      <c r="AV20" s="40">
        <v>3.5</v>
      </c>
      <c r="AW20" s="43">
        <f t="shared" si="7"/>
        <v>4.71</v>
      </c>
      <c r="AX20" s="41">
        <v>0</v>
      </c>
      <c r="AY20" s="43">
        <f t="shared" si="8"/>
        <v>4.71</v>
      </c>
      <c r="AZ20" s="45"/>
      <c r="BA20" s="43">
        <f t="shared" si="13"/>
        <v>6.6749999999999998</v>
      </c>
      <c r="BB20" s="43">
        <f t="shared" si="14"/>
        <v>5.5857142857142845</v>
      </c>
      <c r="BC20" s="43">
        <f t="shared" si="15"/>
        <v>5.3999999999999995</v>
      </c>
      <c r="BD20" s="454">
        <f t="shared" si="16"/>
        <v>6.1899999999999995</v>
      </c>
      <c r="BE20" s="422">
        <f t="shared" si="17"/>
        <v>6.6999999999999993</v>
      </c>
      <c r="BF20" s="422">
        <f t="shared" si="18"/>
        <v>4.71</v>
      </c>
      <c r="BG20" s="456"/>
      <c r="BH20" s="423">
        <f t="shared" si="9"/>
        <v>5.7883928571428562</v>
      </c>
      <c r="BI20" s="47"/>
      <c r="BJ20" s="46">
        <f t="shared" si="10"/>
        <v>6.0749999999999993</v>
      </c>
      <c r="BK20" s="46"/>
      <c r="BL20" s="48">
        <f t="shared" si="11"/>
        <v>5.9316964285714278</v>
      </c>
      <c r="BM20" s="42"/>
    </row>
    <row r="21" spans="1:65" x14ac:dyDescent="0.25">
      <c r="A21" s="313">
        <v>138</v>
      </c>
      <c r="B21" s="313" t="s">
        <v>150</v>
      </c>
      <c r="C21" s="313" t="s">
        <v>190</v>
      </c>
      <c r="D21" s="313" t="s">
        <v>152</v>
      </c>
      <c r="E21" s="313" t="s">
        <v>153</v>
      </c>
      <c r="F21" s="40">
        <v>5.5</v>
      </c>
      <c r="G21" s="40">
        <v>4.5</v>
      </c>
      <c r="H21" s="40">
        <v>4</v>
      </c>
      <c r="I21" s="40">
        <v>6</v>
      </c>
      <c r="J21" s="40">
        <v>7</v>
      </c>
      <c r="K21" s="43">
        <f t="shared" si="0"/>
        <v>5.0249999999999995</v>
      </c>
      <c r="L21" s="50"/>
      <c r="M21" s="40">
        <v>6</v>
      </c>
      <c r="N21" s="40">
        <v>6</v>
      </c>
      <c r="O21" s="40">
        <v>6</v>
      </c>
      <c r="P21" s="40">
        <v>6</v>
      </c>
      <c r="Q21" s="40">
        <v>7</v>
      </c>
      <c r="R21" s="43">
        <f t="shared" si="1"/>
        <v>6.0499999999999989</v>
      </c>
      <c r="S21" s="45"/>
      <c r="T21" s="40">
        <v>5.3</v>
      </c>
      <c r="U21" s="40">
        <v>6.3</v>
      </c>
      <c r="V21" s="40">
        <v>5</v>
      </c>
      <c r="W21" s="40">
        <v>6</v>
      </c>
      <c r="X21" s="40">
        <v>5.8</v>
      </c>
      <c r="Y21" s="40">
        <v>5.5</v>
      </c>
      <c r="Z21" s="40">
        <v>5</v>
      </c>
      <c r="AA21" s="44">
        <f t="shared" si="2"/>
        <v>38.900000000000006</v>
      </c>
      <c r="AB21" s="43">
        <f t="shared" si="3"/>
        <v>5.5571428571428578</v>
      </c>
      <c r="AC21" s="51"/>
      <c r="AD21" s="40">
        <f>10-23/9</f>
        <v>7.4444444444444446</v>
      </c>
      <c r="AE21" s="41">
        <v>0</v>
      </c>
      <c r="AF21" s="43">
        <f t="shared" si="4"/>
        <v>7.4444444444444446</v>
      </c>
      <c r="AG21" s="45"/>
      <c r="AH21" s="40">
        <v>4</v>
      </c>
      <c r="AI21" s="40">
        <v>5.2</v>
      </c>
      <c r="AJ21" s="40">
        <v>5</v>
      </c>
      <c r="AK21" s="40">
        <v>5.8</v>
      </c>
      <c r="AL21" s="40">
        <v>4.8</v>
      </c>
      <c r="AM21" s="40">
        <v>4</v>
      </c>
      <c r="AN21" s="40">
        <v>5.5</v>
      </c>
      <c r="AO21" s="44">
        <f t="shared" si="5"/>
        <v>34.299999999999997</v>
      </c>
      <c r="AP21" s="43">
        <f t="shared" si="6"/>
        <v>4.8999999999999995</v>
      </c>
      <c r="AQ21" s="45"/>
      <c r="AR21" s="40">
        <v>5</v>
      </c>
      <c r="AS21" s="40">
        <v>6</v>
      </c>
      <c r="AT21" s="40">
        <v>6.5</v>
      </c>
      <c r="AU21" s="40">
        <v>3</v>
      </c>
      <c r="AV21" s="40">
        <v>3</v>
      </c>
      <c r="AW21" s="43">
        <f t="shared" si="7"/>
        <v>4.7249999999999996</v>
      </c>
      <c r="AX21" s="41">
        <v>0</v>
      </c>
      <c r="AY21" s="43">
        <f t="shared" si="8"/>
        <v>4.7249999999999996</v>
      </c>
      <c r="AZ21" s="45"/>
      <c r="BA21" s="43">
        <f t="shared" si="13"/>
        <v>5.0249999999999995</v>
      </c>
      <c r="BB21" s="43">
        <f t="shared" si="14"/>
        <v>5.5571428571428578</v>
      </c>
      <c r="BC21" s="43">
        <f t="shared" si="15"/>
        <v>4.8999999999999995</v>
      </c>
      <c r="BD21" s="454">
        <f t="shared" si="16"/>
        <v>6.0499999999999989</v>
      </c>
      <c r="BE21" s="422">
        <f t="shared" si="17"/>
        <v>7.4444444444444446</v>
      </c>
      <c r="BF21" s="422">
        <f t="shared" si="18"/>
        <v>4.7249999999999996</v>
      </c>
      <c r="BG21" s="456"/>
      <c r="BH21" s="423">
        <f t="shared" si="9"/>
        <v>5.1776785714285722</v>
      </c>
      <c r="BI21" s="47"/>
      <c r="BJ21" s="46">
        <f t="shared" si="10"/>
        <v>6.415972222222222</v>
      </c>
      <c r="BK21" s="46"/>
      <c r="BL21" s="48">
        <f t="shared" si="11"/>
        <v>5.7968253968253975</v>
      </c>
      <c r="BM21" s="42"/>
    </row>
    <row r="22" spans="1:65" x14ac:dyDescent="0.25">
      <c r="A22" s="313">
        <v>120</v>
      </c>
      <c r="B22" s="313" t="s">
        <v>200</v>
      </c>
      <c r="C22" s="313" t="s">
        <v>198</v>
      </c>
      <c r="D22" s="313" t="s">
        <v>199</v>
      </c>
      <c r="E22" s="313" t="s">
        <v>120</v>
      </c>
      <c r="F22" s="40">
        <v>6</v>
      </c>
      <c r="G22" s="40">
        <v>6.5</v>
      </c>
      <c r="H22" s="40">
        <v>6</v>
      </c>
      <c r="I22" s="40">
        <v>7.5</v>
      </c>
      <c r="J22" s="40">
        <v>8</v>
      </c>
      <c r="K22" s="43">
        <f t="shared" si="0"/>
        <v>6.45</v>
      </c>
      <c r="L22" s="50"/>
      <c r="M22" s="40">
        <v>6.5</v>
      </c>
      <c r="N22" s="40">
        <v>6.5</v>
      </c>
      <c r="O22" s="40">
        <v>6.5</v>
      </c>
      <c r="P22" s="40">
        <v>8</v>
      </c>
      <c r="Q22" s="40">
        <v>8</v>
      </c>
      <c r="R22" s="43">
        <f t="shared" si="1"/>
        <v>6.8000000000000007</v>
      </c>
      <c r="S22" s="45"/>
      <c r="T22" s="40">
        <v>4.8</v>
      </c>
      <c r="U22" s="40">
        <v>6.8</v>
      </c>
      <c r="V22" s="40">
        <v>5.8</v>
      </c>
      <c r="W22" s="40">
        <v>5.8</v>
      </c>
      <c r="X22" s="40">
        <v>4.9000000000000004</v>
      </c>
      <c r="Y22" s="40">
        <v>5.5</v>
      </c>
      <c r="Z22" s="40">
        <v>4</v>
      </c>
      <c r="AA22" s="44">
        <f t="shared" si="2"/>
        <v>37.6</v>
      </c>
      <c r="AB22" s="43">
        <f t="shared" si="3"/>
        <v>5.3714285714285719</v>
      </c>
      <c r="AC22" s="51"/>
      <c r="AD22" s="40">
        <f>10-25/8</f>
        <v>6.875</v>
      </c>
      <c r="AE22" s="41">
        <v>0</v>
      </c>
      <c r="AF22" s="43">
        <f t="shared" si="4"/>
        <v>6.875</v>
      </c>
      <c r="AG22" s="45"/>
      <c r="AH22" s="40">
        <v>4.5</v>
      </c>
      <c r="AI22" s="40">
        <v>4.8</v>
      </c>
      <c r="AJ22" s="40">
        <v>5.2</v>
      </c>
      <c r="AK22" s="40">
        <v>4</v>
      </c>
      <c r="AL22" s="40">
        <v>4</v>
      </c>
      <c r="AM22" s="40">
        <v>5</v>
      </c>
      <c r="AN22" s="40">
        <v>4</v>
      </c>
      <c r="AO22" s="44">
        <f t="shared" si="5"/>
        <v>31.5</v>
      </c>
      <c r="AP22" s="43">
        <f t="shared" si="6"/>
        <v>4.5</v>
      </c>
      <c r="AQ22" s="45"/>
      <c r="AR22" s="40">
        <v>5</v>
      </c>
      <c r="AS22" s="40">
        <v>6</v>
      </c>
      <c r="AT22" s="40">
        <v>5.8</v>
      </c>
      <c r="AU22" s="40">
        <v>3</v>
      </c>
      <c r="AV22" s="40">
        <v>3</v>
      </c>
      <c r="AW22" s="43">
        <f t="shared" si="7"/>
        <v>4.55</v>
      </c>
      <c r="AX22" s="41">
        <v>0</v>
      </c>
      <c r="AY22" s="43">
        <f t="shared" si="8"/>
        <v>4.55</v>
      </c>
      <c r="AZ22" s="45"/>
      <c r="BA22" s="43">
        <f t="shared" si="13"/>
        <v>6.45</v>
      </c>
      <c r="BB22" s="43">
        <f t="shared" si="14"/>
        <v>5.3714285714285719</v>
      </c>
      <c r="BC22" s="43">
        <f t="shared" si="15"/>
        <v>4.5</v>
      </c>
      <c r="BD22" s="454">
        <f t="shared" si="16"/>
        <v>6.8000000000000007</v>
      </c>
      <c r="BE22" s="422">
        <f t="shared" si="17"/>
        <v>6.875</v>
      </c>
      <c r="BF22" s="422">
        <f t="shared" si="18"/>
        <v>4.55</v>
      </c>
      <c r="BG22" s="456"/>
      <c r="BH22" s="423">
        <f t="shared" si="9"/>
        <v>5.3142857142857141</v>
      </c>
      <c r="BI22" s="47"/>
      <c r="BJ22" s="46">
        <f t="shared" si="10"/>
        <v>6.2750000000000004</v>
      </c>
      <c r="BK22" s="46"/>
      <c r="BL22" s="48">
        <f t="shared" si="11"/>
        <v>5.7946428571428577</v>
      </c>
      <c r="BM22" s="42"/>
    </row>
    <row r="23" spans="1:65" x14ac:dyDescent="0.25">
      <c r="A23" s="313">
        <v>113</v>
      </c>
      <c r="B23" s="313" t="s">
        <v>172</v>
      </c>
      <c r="C23" s="313" t="s">
        <v>175</v>
      </c>
      <c r="D23" s="313" t="s">
        <v>176</v>
      </c>
      <c r="E23" s="314" t="s">
        <v>123</v>
      </c>
      <c r="F23" s="40">
        <v>6.5</v>
      </c>
      <c r="G23" s="40">
        <v>6</v>
      </c>
      <c r="H23" s="40">
        <v>6.5</v>
      </c>
      <c r="I23" s="40">
        <v>6.5</v>
      </c>
      <c r="J23" s="40">
        <v>6.5</v>
      </c>
      <c r="K23" s="43">
        <f t="shared" si="0"/>
        <v>6.375</v>
      </c>
      <c r="L23" s="50"/>
      <c r="M23" s="40">
        <v>6.5</v>
      </c>
      <c r="N23" s="40">
        <v>6.2</v>
      </c>
      <c r="O23" s="40">
        <v>6.5</v>
      </c>
      <c r="P23" s="40">
        <v>7</v>
      </c>
      <c r="Q23" s="40">
        <v>7.5</v>
      </c>
      <c r="R23" s="43">
        <f t="shared" si="1"/>
        <v>6.55</v>
      </c>
      <c r="S23" s="45"/>
      <c r="T23" s="40">
        <v>4.8</v>
      </c>
      <c r="U23" s="40">
        <v>6.3</v>
      </c>
      <c r="V23" s="40">
        <v>5.3</v>
      </c>
      <c r="W23" s="40">
        <v>6</v>
      </c>
      <c r="X23" s="40">
        <v>5.5</v>
      </c>
      <c r="Y23" s="40">
        <v>5.5</v>
      </c>
      <c r="Z23" s="40">
        <v>5.5</v>
      </c>
      <c r="AA23" s="44">
        <f t="shared" si="2"/>
        <v>38.9</v>
      </c>
      <c r="AB23" s="43">
        <f t="shared" si="3"/>
        <v>5.5571428571428569</v>
      </c>
      <c r="AC23" s="51"/>
      <c r="AD23" s="40">
        <v>6.2</v>
      </c>
      <c r="AE23" s="41">
        <v>0</v>
      </c>
      <c r="AF23" s="43">
        <f t="shared" si="4"/>
        <v>6.2</v>
      </c>
      <c r="AG23" s="45"/>
      <c r="AH23" s="40">
        <v>5</v>
      </c>
      <c r="AI23" s="40">
        <v>6.5</v>
      </c>
      <c r="AJ23" s="40">
        <v>5</v>
      </c>
      <c r="AK23" s="40">
        <v>5.5</v>
      </c>
      <c r="AL23" s="40">
        <v>5</v>
      </c>
      <c r="AM23" s="40">
        <v>5</v>
      </c>
      <c r="AN23" s="40">
        <v>4</v>
      </c>
      <c r="AO23" s="44">
        <f t="shared" si="5"/>
        <v>36</v>
      </c>
      <c r="AP23" s="43">
        <f t="shared" si="6"/>
        <v>5.1428571428571432</v>
      </c>
      <c r="AQ23" s="45"/>
      <c r="AR23" s="40">
        <v>5.5</v>
      </c>
      <c r="AS23" s="40">
        <v>4</v>
      </c>
      <c r="AT23" s="40">
        <v>3.8</v>
      </c>
      <c r="AU23" s="40">
        <v>3</v>
      </c>
      <c r="AV23" s="40">
        <v>3</v>
      </c>
      <c r="AW23" s="43">
        <f t="shared" si="7"/>
        <v>3.8500000000000005</v>
      </c>
      <c r="AX23" s="41">
        <v>0</v>
      </c>
      <c r="AY23" s="43">
        <f t="shared" si="8"/>
        <v>3.8500000000000005</v>
      </c>
      <c r="AZ23" s="45"/>
      <c r="BA23" s="43">
        <f t="shared" si="13"/>
        <v>6.375</v>
      </c>
      <c r="BB23" s="43">
        <f t="shared" si="14"/>
        <v>5.5571428571428569</v>
      </c>
      <c r="BC23" s="43">
        <f t="shared" si="15"/>
        <v>5.1428571428571432</v>
      </c>
      <c r="BD23" s="454">
        <f t="shared" si="16"/>
        <v>6.55</v>
      </c>
      <c r="BE23" s="422">
        <f t="shared" si="17"/>
        <v>6.2</v>
      </c>
      <c r="BF23" s="422">
        <f t="shared" si="18"/>
        <v>3.8500000000000005</v>
      </c>
      <c r="BG23" s="456"/>
      <c r="BH23" s="423">
        <f t="shared" si="9"/>
        <v>5.6062500000000002</v>
      </c>
      <c r="BI23" s="47"/>
      <c r="BJ23" s="46">
        <f t="shared" si="10"/>
        <v>5.7</v>
      </c>
      <c r="BK23" s="46"/>
      <c r="BL23" s="48">
        <f t="shared" si="11"/>
        <v>5.6531250000000002</v>
      </c>
      <c r="BM23" s="42"/>
    </row>
    <row r="24" spans="1:65" x14ac:dyDescent="0.25">
      <c r="A24" s="313">
        <v>127</v>
      </c>
      <c r="B24" s="313" t="s">
        <v>201</v>
      </c>
      <c r="C24" s="313" t="s">
        <v>187</v>
      </c>
      <c r="D24" s="313" t="s">
        <v>188</v>
      </c>
      <c r="E24" s="313" t="s">
        <v>120</v>
      </c>
      <c r="F24" s="40">
        <v>6</v>
      </c>
      <c r="G24" s="40">
        <v>6.5</v>
      </c>
      <c r="H24" s="40">
        <v>6</v>
      </c>
      <c r="I24" s="40">
        <v>7</v>
      </c>
      <c r="J24" s="40">
        <v>6</v>
      </c>
      <c r="K24" s="43">
        <f t="shared" si="0"/>
        <v>6.2749999999999995</v>
      </c>
      <c r="L24" s="50"/>
      <c r="M24" s="40">
        <v>4.8</v>
      </c>
      <c r="N24" s="40">
        <v>4.8</v>
      </c>
      <c r="O24" s="40">
        <v>4</v>
      </c>
      <c r="P24" s="40">
        <v>5.5</v>
      </c>
      <c r="Q24" s="40">
        <v>5.5</v>
      </c>
      <c r="R24" s="43">
        <f t="shared" si="1"/>
        <v>4.74</v>
      </c>
      <c r="S24" s="45"/>
      <c r="T24" s="40">
        <v>5.3</v>
      </c>
      <c r="U24" s="40">
        <v>6.5</v>
      </c>
      <c r="V24" s="40">
        <v>5.2</v>
      </c>
      <c r="W24" s="40">
        <v>3.5</v>
      </c>
      <c r="X24" s="40">
        <v>5</v>
      </c>
      <c r="Y24" s="40">
        <v>5.5</v>
      </c>
      <c r="Z24" s="40">
        <v>5.3</v>
      </c>
      <c r="AA24" s="44">
        <f t="shared" si="2"/>
        <v>36.299999999999997</v>
      </c>
      <c r="AB24" s="43">
        <f t="shared" si="3"/>
        <v>5.1857142857142851</v>
      </c>
      <c r="AC24" s="51"/>
      <c r="AD24" s="40">
        <f>10-34/10</f>
        <v>6.6</v>
      </c>
      <c r="AE24" s="41">
        <v>0</v>
      </c>
      <c r="AF24" s="43">
        <f t="shared" si="4"/>
        <v>6.6</v>
      </c>
      <c r="AG24" s="45"/>
      <c r="AH24" s="40">
        <v>6.5</v>
      </c>
      <c r="AI24" s="40">
        <v>6</v>
      </c>
      <c r="AJ24" s="40">
        <v>6</v>
      </c>
      <c r="AK24" s="40">
        <v>2</v>
      </c>
      <c r="AL24" s="40">
        <v>4.5</v>
      </c>
      <c r="AM24" s="40">
        <v>5.2</v>
      </c>
      <c r="AN24" s="40">
        <v>5.5</v>
      </c>
      <c r="AO24" s="44">
        <f t="shared" si="5"/>
        <v>35.700000000000003</v>
      </c>
      <c r="AP24" s="43">
        <f t="shared" si="6"/>
        <v>5.1000000000000005</v>
      </c>
      <c r="AQ24" s="45"/>
      <c r="AR24" s="40">
        <v>4</v>
      </c>
      <c r="AS24" s="40">
        <v>5</v>
      </c>
      <c r="AT24" s="40">
        <v>4.7</v>
      </c>
      <c r="AU24" s="40">
        <v>3</v>
      </c>
      <c r="AV24" s="40">
        <v>3</v>
      </c>
      <c r="AW24" s="43">
        <f t="shared" si="7"/>
        <v>3.9250000000000003</v>
      </c>
      <c r="AX24" s="41">
        <v>0</v>
      </c>
      <c r="AY24" s="43">
        <f t="shared" si="8"/>
        <v>3.9250000000000003</v>
      </c>
      <c r="AZ24" s="45"/>
      <c r="BA24" s="43">
        <f t="shared" si="13"/>
        <v>6.2749999999999995</v>
      </c>
      <c r="BB24" s="43">
        <f t="shared" si="14"/>
        <v>5.1857142857142851</v>
      </c>
      <c r="BC24" s="43">
        <f t="shared" si="15"/>
        <v>5.1000000000000005</v>
      </c>
      <c r="BD24" s="454">
        <f t="shared" si="16"/>
        <v>4.74</v>
      </c>
      <c r="BE24" s="422">
        <f t="shared" si="17"/>
        <v>6.6</v>
      </c>
      <c r="BF24" s="422">
        <f t="shared" si="18"/>
        <v>3.9250000000000003</v>
      </c>
      <c r="BG24" s="456"/>
      <c r="BH24" s="423">
        <f t="shared" si="9"/>
        <v>5.4258928571428573</v>
      </c>
      <c r="BI24" s="47"/>
      <c r="BJ24" s="46">
        <f t="shared" si="10"/>
        <v>5.4662500000000005</v>
      </c>
      <c r="BK24" s="46"/>
      <c r="BL24" s="48">
        <f t="shared" si="11"/>
        <v>5.4460714285714289</v>
      </c>
      <c r="BM24" s="42"/>
    </row>
    <row r="25" spans="1:65" x14ac:dyDescent="0.25">
      <c r="A25" s="313">
        <v>140</v>
      </c>
      <c r="B25" s="313" t="s">
        <v>149</v>
      </c>
      <c r="C25" s="313" t="s">
        <v>190</v>
      </c>
      <c r="D25" s="313" t="s">
        <v>152</v>
      </c>
      <c r="E25" s="313" t="s">
        <v>153</v>
      </c>
      <c r="F25" s="40">
        <v>5.5</v>
      </c>
      <c r="G25" s="40">
        <v>4</v>
      </c>
      <c r="H25" s="40">
        <v>5.5</v>
      </c>
      <c r="I25" s="40">
        <v>5.5</v>
      </c>
      <c r="J25" s="40">
        <v>7</v>
      </c>
      <c r="K25" s="43">
        <f t="shared" si="0"/>
        <v>5.2</v>
      </c>
      <c r="L25" s="50"/>
      <c r="M25" s="40">
        <v>4</v>
      </c>
      <c r="N25" s="40">
        <v>4.5</v>
      </c>
      <c r="O25" s="40">
        <v>4</v>
      </c>
      <c r="P25" s="40">
        <v>5.5</v>
      </c>
      <c r="Q25" s="40">
        <v>7</v>
      </c>
      <c r="R25" s="43">
        <f t="shared" si="1"/>
        <v>4.5</v>
      </c>
      <c r="S25" s="45"/>
      <c r="T25" s="40">
        <v>5.3</v>
      </c>
      <c r="U25" s="40">
        <v>6.5</v>
      </c>
      <c r="V25" s="40">
        <v>6.2</v>
      </c>
      <c r="W25" s="40">
        <v>3.5</v>
      </c>
      <c r="X25" s="40">
        <v>5.3</v>
      </c>
      <c r="Y25" s="40">
        <v>6</v>
      </c>
      <c r="Z25" s="40">
        <v>4.5</v>
      </c>
      <c r="AA25" s="44">
        <f t="shared" si="2"/>
        <v>37.299999999999997</v>
      </c>
      <c r="AB25" s="43">
        <f t="shared" si="3"/>
        <v>5.3285714285714283</v>
      </c>
      <c r="AC25" s="51"/>
      <c r="AD25" s="40">
        <f>10-26/10</f>
        <v>7.4</v>
      </c>
      <c r="AE25" s="41">
        <v>2</v>
      </c>
      <c r="AF25" s="43">
        <f t="shared" si="4"/>
        <v>5.4</v>
      </c>
      <c r="AG25" s="45"/>
      <c r="AH25" s="40">
        <v>4</v>
      </c>
      <c r="AI25" s="40">
        <v>6.5</v>
      </c>
      <c r="AJ25" s="40">
        <v>6</v>
      </c>
      <c r="AK25" s="40">
        <v>5</v>
      </c>
      <c r="AL25" s="40">
        <v>5.5</v>
      </c>
      <c r="AM25" s="40">
        <v>5.2</v>
      </c>
      <c r="AN25" s="40">
        <v>5</v>
      </c>
      <c r="AO25" s="44">
        <f t="shared" si="5"/>
        <v>37.200000000000003</v>
      </c>
      <c r="AP25" s="43">
        <f t="shared" si="6"/>
        <v>5.3142857142857149</v>
      </c>
      <c r="AQ25" s="45"/>
      <c r="AR25" s="40">
        <v>5</v>
      </c>
      <c r="AS25" s="40">
        <v>6</v>
      </c>
      <c r="AT25" s="40">
        <v>3.8</v>
      </c>
      <c r="AU25" s="40">
        <v>3.8</v>
      </c>
      <c r="AV25" s="40">
        <v>3.5</v>
      </c>
      <c r="AW25" s="43">
        <f t="shared" si="7"/>
        <v>4.3099999999999996</v>
      </c>
      <c r="AX25" s="41">
        <v>1</v>
      </c>
      <c r="AY25" s="43">
        <f t="shared" si="8"/>
        <v>3.3099999999999996</v>
      </c>
      <c r="AZ25" s="45"/>
      <c r="BA25" s="43">
        <f t="shared" si="13"/>
        <v>5.2</v>
      </c>
      <c r="BB25" s="43">
        <f t="shared" si="14"/>
        <v>5.3285714285714283</v>
      </c>
      <c r="BC25" s="43">
        <f t="shared" si="15"/>
        <v>5.3142857142857149</v>
      </c>
      <c r="BD25" s="454">
        <f t="shared" si="16"/>
        <v>4.5</v>
      </c>
      <c r="BE25" s="422">
        <f t="shared" si="17"/>
        <v>5.4</v>
      </c>
      <c r="BF25" s="422">
        <f t="shared" si="18"/>
        <v>3.3099999999999996</v>
      </c>
      <c r="BG25" s="456"/>
      <c r="BH25" s="423">
        <f t="shared" si="9"/>
        <v>5.2910714285714286</v>
      </c>
      <c r="BI25" s="47"/>
      <c r="BJ25" s="46">
        <f t="shared" si="10"/>
        <v>4.6524999999999999</v>
      </c>
      <c r="BK25" s="46"/>
      <c r="BL25" s="48">
        <f t="shared" si="11"/>
        <v>4.9717857142857138</v>
      </c>
      <c r="BM25" s="42"/>
    </row>
  </sheetData>
  <sortState ref="A11:BO25">
    <sortCondition ref="BM11:BM25"/>
  </sortState>
  <mergeCells count="3">
    <mergeCell ref="A3:B3"/>
    <mergeCell ref="BA8:BC8"/>
    <mergeCell ref="BD8:BF8"/>
  </mergeCells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K17"/>
  <sheetViews>
    <sheetView workbookViewId="0">
      <pane xSplit="2" topLeftCell="C1" activePane="topRight" state="frozen"/>
      <selection pane="topRight" activeCell="B6" sqref="B6"/>
    </sheetView>
  </sheetViews>
  <sheetFormatPr defaultColWidth="9.140625" defaultRowHeight="15" x14ac:dyDescent="0.25"/>
  <cols>
    <col min="1" max="1" width="5.42578125" style="3" customWidth="1"/>
    <col min="2" max="2" width="18.28515625" style="3" customWidth="1"/>
    <col min="3" max="3" width="21.42578125" style="3" customWidth="1"/>
    <col min="4" max="4" width="15.28515625" style="3" customWidth="1"/>
    <col min="5" max="5" width="17.28515625" style="3" customWidth="1"/>
    <col min="6" max="6" width="3.140625" style="3" customWidth="1"/>
    <col min="7" max="7" width="9" style="3" customWidth="1"/>
    <col min="8" max="11" width="7.7109375" style="3" customWidth="1"/>
    <col min="12" max="12" width="3.28515625" style="3" customWidth="1"/>
    <col min="13" max="18" width="7.7109375" style="3" customWidth="1"/>
    <col min="19" max="19" width="3.28515625" style="3" customWidth="1"/>
    <col min="20" max="28" width="7.7109375" style="3" customWidth="1"/>
    <col min="29" max="29" width="3.28515625" style="3" customWidth="1"/>
    <col min="30" max="30" width="7.28515625" style="3" customWidth="1"/>
    <col min="31" max="31" width="7" style="3" customWidth="1"/>
    <col min="32" max="32" width="9.42578125" style="3" customWidth="1"/>
    <col min="33" max="33" width="2.7109375" style="3" customWidth="1"/>
    <col min="34" max="42" width="7.7109375" style="3" customWidth="1"/>
    <col min="43" max="43" width="2.42578125" style="5" customWidth="1"/>
    <col min="44" max="51" width="7.7109375" style="3" customWidth="1"/>
    <col min="52" max="52" width="2.42578125" style="5" customWidth="1"/>
    <col min="53" max="55" width="7.7109375" style="233" customWidth="1"/>
    <col min="56" max="56" width="12.140625" style="3" customWidth="1"/>
    <col min="57" max="57" width="2.7109375" style="5" customWidth="1"/>
    <col min="58" max="58" width="10.42578125" style="3" customWidth="1"/>
    <col min="59" max="59" width="2.7109375" style="5" customWidth="1"/>
    <col min="60" max="60" width="9.140625" style="3"/>
    <col min="61" max="61" width="13.28515625" style="3" customWidth="1"/>
    <col min="62" max="16384" width="9.140625" style="3"/>
  </cols>
  <sheetData>
    <row r="1" spans="1:63" x14ac:dyDescent="0.25">
      <c r="A1" s="2" t="str">
        <f>CompDetail!A1</f>
        <v>NSW State Championships</v>
      </c>
      <c r="D1" s="4" t="s">
        <v>0</v>
      </c>
      <c r="E1" s="4" t="s">
        <v>257</v>
      </c>
      <c r="G1" s="5"/>
      <c r="H1" s="6"/>
      <c r="I1" s="6"/>
      <c r="J1" s="6"/>
      <c r="K1" s="6"/>
      <c r="L1" s="6"/>
      <c r="T1" s="6"/>
      <c r="U1" s="6"/>
      <c r="V1" s="6"/>
      <c r="W1" s="5"/>
      <c r="Z1" s="6"/>
      <c r="AA1" s="6"/>
      <c r="AB1" s="6"/>
      <c r="AC1" s="6"/>
      <c r="AH1" s="6"/>
      <c r="AI1" s="6"/>
      <c r="AJ1" s="6"/>
      <c r="AK1" s="5"/>
      <c r="AN1" s="6"/>
      <c r="AO1" s="6"/>
      <c r="AP1" s="6"/>
      <c r="AQ1" s="7"/>
      <c r="BI1" s="8">
        <f ca="1">NOW()</f>
        <v>43266.404079513886</v>
      </c>
    </row>
    <row r="2" spans="1:63" x14ac:dyDescent="0.25">
      <c r="A2" s="9"/>
      <c r="D2" s="4"/>
      <c r="E2" s="4" t="s">
        <v>259</v>
      </c>
      <c r="G2" s="5"/>
      <c r="W2" s="5"/>
      <c r="AK2" s="5"/>
      <c r="AQ2" s="10"/>
      <c r="BI2" s="11">
        <f ca="1">NOW()</f>
        <v>43266.404079513886</v>
      </c>
    </row>
    <row r="3" spans="1:63" x14ac:dyDescent="0.25">
      <c r="A3" s="516" t="str">
        <f>CompDetail!A3</f>
        <v>June 9 to 11 2018</v>
      </c>
      <c r="B3" s="517"/>
      <c r="D3" s="4"/>
      <c r="E3" s="4" t="s">
        <v>258</v>
      </c>
      <c r="F3" s="12"/>
      <c r="G3" s="13"/>
      <c r="H3" s="12"/>
      <c r="I3" s="13"/>
      <c r="J3" s="13"/>
      <c r="K3" s="13"/>
      <c r="L3" s="5"/>
      <c r="M3" s="14"/>
      <c r="N3" s="14"/>
      <c r="O3" s="14"/>
      <c r="P3" s="14"/>
      <c r="Q3" s="14"/>
      <c r="R3" s="14"/>
      <c r="S3" s="5"/>
      <c r="T3" s="74"/>
      <c r="U3" s="104"/>
      <c r="V3" s="104"/>
      <c r="W3" s="104"/>
      <c r="X3" s="104"/>
      <c r="Y3" s="104"/>
      <c r="Z3" s="104"/>
      <c r="AA3" s="104"/>
      <c r="AB3" s="104"/>
      <c r="AC3" s="5"/>
      <c r="AD3" s="14"/>
      <c r="AE3" s="14"/>
      <c r="AF3" s="14"/>
      <c r="AG3" s="5"/>
      <c r="AH3" s="74"/>
      <c r="AI3" s="104"/>
      <c r="AJ3" s="104"/>
      <c r="AK3" s="104"/>
      <c r="AL3" s="104"/>
      <c r="AM3" s="104"/>
      <c r="AN3" s="104"/>
      <c r="AO3" s="104"/>
      <c r="AP3" s="104"/>
      <c r="AR3" s="14"/>
      <c r="AS3" s="14"/>
      <c r="AT3" s="14"/>
      <c r="AU3" s="14"/>
      <c r="AV3" s="14"/>
      <c r="AW3" s="14"/>
      <c r="AX3" s="14"/>
      <c r="AY3" s="14"/>
    </row>
    <row r="4" spans="1:63" x14ac:dyDescent="0.25">
      <c r="A4" s="489"/>
      <c r="B4" s="490"/>
      <c r="D4" s="4"/>
      <c r="E4" s="4"/>
      <c r="F4" s="17" t="s">
        <v>31</v>
      </c>
      <c r="G4" s="18"/>
      <c r="H4" s="17"/>
      <c r="I4" s="18"/>
      <c r="J4" s="18"/>
      <c r="K4" s="18"/>
      <c r="M4" s="19" t="s">
        <v>20</v>
      </c>
      <c r="N4" s="19"/>
      <c r="O4" s="19"/>
      <c r="P4" s="19"/>
      <c r="Q4" s="19"/>
      <c r="R4" s="19"/>
      <c r="T4" s="105" t="s">
        <v>31</v>
      </c>
      <c r="U4" s="106"/>
      <c r="V4" s="106"/>
      <c r="W4" s="106"/>
      <c r="X4" s="106"/>
      <c r="Y4" s="106"/>
      <c r="Z4" s="106"/>
      <c r="AA4" s="106"/>
      <c r="AB4" s="106"/>
      <c r="AD4" s="19" t="s">
        <v>20</v>
      </c>
      <c r="AE4" s="19"/>
      <c r="AF4" s="19"/>
      <c r="AH4" s="105" t="s">
        <v>31</v>
      </c>
      <c r="AI4" s="106"/>
      <c r="AJ4" s="106"/>
      <c r="AK4" s="106"/>
      <c r="AL4" s="106"/>
      <c r="AM4" s="106"/>
      <c r="AN4" s="106"/>
      <c r="AO4" s="106"/>
      <c r="AP4" s="106"/>
      <c r="AR4" s="19" t="s">
        <v>20</v>
      </c>
      <c r="AS4" s="19"/>
      <c r="AT4" s="19"/>
      <c r="AU4" s="19"/>
      <c r="AV4" s="19"/>
      <c r="AW4" s="19"/>
      <c r="AX4" s="19"/>
      <c r="AY4" s="19"/>
    </row>
    <row r="5" spans="1:63" x14ac:dyDescent="0.25">
      <c r="A5" s="9"/>
      <c r="D5" s="4"/>
      <c r="G5" s="5"/>
      <c r="W5" s="5"/>
      <c r="AK5" s="5"/>
    </row>
    <row r="6" spans="1:63" x14ac:dyDescent="0.25">
      <c r="A6" s="9" t="s">
        <v>55</v>
      </c>
      <c r="B6" s="9"/>
      <c r="F6" s="9" t="s">
        <v>58</v>
      </c>
      <c r="G6" s="5" t="str">
        <f>E1</f>
        <v>A Deeks</v>
      </c>
      <c r="I6" s="9"/>
      <c r="M6" s="9" t="s">
        <v>58</v>
      </c>
      <c r="N6" s="3" t="str">
        <f>E1</f>
        <v>A Deeks</v>
      </c>
      <c r="T6" s="9" t="s">
        <v>57</v>
      </c>
      <c r="U6" s="3" t="str">
        <f>E2</f>
        <v>C Wicks</v>
      </c>
      <c r="W6" s="5"/>
      <c r="AD6" s="9" t="s">
        <v>57</v>
      </c>
      <c r="AE6" s="3" t="str">
        <f>E2</f>
        <v>C Wicks</v>
      </c>
      <c r="AH6" s="9" t="s">
        <v>59</v>
      </c>
      <c r="AI6" s="3" t="str">
        <f>E3</f>
        <v>J Scott</v>
      </c>
      <c r="AK6" s="5"/>
      <c r="AR6" s="9" t="s">
        <v>59</v>
      </c>
      <c r="AS6" s="3" t="str">
        <f>E3</f>
        <v>J Scott</v>
      </c>
      <c r="AX6" s="9"/>
      <c r="AY6" s="9"/>
      <c r="AZ6" s="107"/>
      <c r="BD6" s="9" t="s">
        <v>21</v>
      </c>
    </row>
    <row r="7" spans="1:63" x14ac:dyDescent="0.25">
      <c r="A7" s="9" t="s">
        <v>64</v>
      </c>
      <c r="B7" s="9" t="s">
        <v>234</v>
      </c>
      <c r="G7" s="5"/>
      <c r="W7" s="5"/>
      <c r="AG7" s="5"/>
      <c r="AK7" s="5"/>
      <c r="AZ7" s="107"/>
      <c r="BA7" s="486"/>
      <c r="BB7" s="486"/>
      <c r="BC7" s="486"/>
      <c r="BD7" s="9"/>
    </row>
    <row r="8" spans="1:63" x14ac:dyDescent="0.25">
      <c r="F8" s="9" t="s">
        <v>35</v>
      </c>
      <c r="K8" s="6"/>
      <c r="L8" s="23"/>
      <c r="M8" s="22" t="s">
        <v>35</v>
      </c>
      <c r="N8" s="24"/>
      <c r="O8" s="24"/>
      <c r="P8" s="24"/>
      <c r="Q8" s="22"/>
      <c r="S8" s="5"/>
      <c r="U8" s="6"/>
      <c r="V8" s="6"/>
      <c r="W8" s="6"/>
      <c r="X8" s="6"/>
      <c r="Y8" s="6"/>
      <c r="Z8" s="6"/>
      <c r="AA8" s="6"/>
      <c r="AB8" s="6"/>
      <c r="AC8" s="23"/>
      <c r="AD8" s="9"/>
      <c r="AE8" s="3" t="s">
        <v>19</v>
      </c>
      <c r="AF8" s="9" t="s">
        <v>22</v>
      </c>
      <c r="AG8" s="5"/>
      <c r="AI8" s="6"/>
      <c r="AJ8" s="6"/>
      <c r="AK8" s="6"/>
      <c r="AL8" s="6"/>
      <c r="AM8" s="6"/>
      <c r="AN8" s="6"/>
      <c r="AO8" s="6"/>
      <c r="AP8" s="6"/>
      <c r="AY8" s="22" t="s">
        <v>56</v>
      </c>
      <c r="AZ8" s="107"/>
      <c r="BD8" s="25" t="s">
        <v>61</v>
      </c>
      <c r="BE8" s="26"/>
      <c r="BF8" s="25" t="s">
        <v>62</v>
      </c>
      <c r="BG8" s="26"/>
      <c r="BH8" s="27" t="s">
        <v>63</v>
      </c>
      <c r="BI8" s="28"/>
    </row>
    <row r="9" spans="1:63" s="24" customFormat="1" x14ac:dyDescent="0.25">
      <c r="A9" s="29" t="s">
        <v>33</v>
      </c>
      <c r="B9" s="29" t="s">
        <v>34</v>
      </c>
      <c r="C9" s="29" t="s">
        <v>35</v>
      </c>
      <c r="D9" s="29" t="s">
        <v>36</v>
      </c>
      <c r="E9" s="29" t="s">
        <v>37</v>
      </c>
      <c r="F9" s="30" t="s">
        <v>7</v>
      </c>
      <c r="G9" s="30" t="s">
        <v>8</v>
      </c>
      <c r="H9" s="30" t="s">
        <v>9</v>
      </c>
      <c r="I9" s="30" t="s">
        <v>10</v>
      </c>
      <c r="J9" s="30" t="s">
        <v>11</v>
      </c>
      <c r="K9" s="30" t="s">
        <v>35</v>
      </c>
      <c r="L9" s="31"/>
      <c r="M9" s="30" t="s">
        <v>7</v>
      </c>
      <c r="N9" s="30" t="s">
        <v>8</v>
      </c>
      <c r="O9" s="30" t="s">
        <v>9</v>
      </c>
      <c r="P9" s="30" t="s">
        <v>10</v>
      </c>
      <c r="Q9" s="30" t="s">
        <v>11</v>
      </c>
      <c r="R9" s="30" t="s">
        <v>35</v>
      </c>
      <c r="S9" s="54"/>
      <c r="T9" s="29" t="s">
        <v>38</v>
      </c>
      <c r="U9" s="29" t="s">
        <v>39</v>
      </c>
      <c r="V9" s="29" t="s">
        <v>51</v>
      </c>
      <c r="W9" s="29" t="s">
        <v>48</v>
      </c>
      <c r="X9" s="29" t="s">
        <v>52</v>
      </c>
      <c r="Y9" s="29" t="s">
        <v>53</v>
      </c>
      <c r="Z9" s="29" t="s">
        <v>54</v>
      </c>
      <c r="AA9" s="29" t="s">
        <v>47</v>
      </c>
      <c r="AB9" s="32" t="s">
        <v>46</v>
      </c>
      <c r="AC9" s="31"/>
      <c r="AD9" s="29" t="s">
        <v>45</v>
      </c>
      <c r="AE9" s="29" t="s">
        <v>18</v>
      </c>
      <c r="AF9" s="32" t="s">
        <v>24</v>
      </c>
      <c r="AG9" s="31"/>
      <c r="AH9" s="29" t="s">
        <v>38</v>
      </c>
      <c r="AI9" s="29" t="s">
        <v>39</v>
      </c>
      <c r="AJ9" s="29" t="s">
        <v>51</v>
      </c>
      <c r="AK9" s="29" t="s">
        <v>48</v>
      </c>
      <c r="AL9" s="29" t="s">
        <v>52</v>
      </c>
      <c r="AM9" s="29" t="s">
        <v>53</v>
      </c>
      <c r="AN9" s="29" t="s">
        <v>54</v>
      </c>
      <c r="AO9" s="29" t="s">
        <v>47</v>
      </c>
      <c r="AP9" s="29" t="s">
        <v>46</v>
      </c>
      <c r="AQ9" s="31"/>
      <c r="AR9" s="30" t="s">
        <v>12</v>
      </c>
      <c r="AS9" s="30" t="s">
        <v>13</v>
      </c>
      <c r="AT9" s="30" t="s">
        <v>14</v>
      </c>
      <c r="AU9" s="30" t="s">
        <v>15</v>
      </c>
      <c r="AV9" s="30" t="s">
        <v>16</v>
      </c>
      <c r="AW9" s="30" t="s">
        <v>42</v>
      </c>
      <c r="AX9" s="29" t="s">
        <v>19</v>
      </c>
      <c r="AY9" s="32" t="s">
        <v>24</v>
      </c>
      <c r="AZ9" s="108"/>
      <c r="BA9" s="486" t="s">
        <v>101</v>
      </c>
      <c r="BB9" s="486" t="s">
        <v>102</v>
      </c>
      <c r="BC9" s="486" t="s">
        <v>103</v>
      </c>
      <c r="BD9" s="33" t="s">
        <v>41</v>
      </c>
      <c r="BE9" s="34"/>
      <c r="BF9" s="35" t="s">
        <v>41</v>
      </c>
      <c r="BG9" s="109"/>
      <c r="BH9" s="35" t="s">
        <v>41</v>
      </c>
      <c r="BI9" s="36" t="s">
        <v>44</v>
      </c>
      <c r="BJ9" s="29"/>
      <c r="BK9" s="29"/>
    </row>
    <row r="10" spans="1:63" s="24" customFormat="1" x14ac:dyDescent="0.25">
      <c r="F10" s="28"/>
      <c r="G10" s="28"/>
      <c r="H10" s="28"/>
      <c r="I10" s="28"/>
      <c r="J10" s="28"/>
      <c r="K10" s="28"/>
      <c r="L10" s="37"/>
      <c r="M10" s="28"/>
      <c r="N10" s="28"/>
      <c r="O10" s="28"/>
      <c r="P10" s="28"/>
      <c r="Q10" s="28"/>
      <c r="R10" s="28"/>
      <c r="S10" s="57"/>
      <c r="AC10" s="37"/>
      <c r="AG10" s="37"/>
      <c r="AQ10" s="37"/>
      <c r="AR10" s="28"/>
      <c r="AS10" s="28"/>
      <c r="AT10" s="28"/>
      <c r="AU10" s="28"/>
      <c r="AV10" s="28"/>
      <c r="AW10" s="28"/>
      <c r="AY10" s="22"/>
      <c r="AZ10" s="110"/>
      <c r="BA10" s="234"/>
      <c r="BB10" s="486"/>
      <c r="BC10" s="486"/>
      <c r="BD10" s="22"/>
      <c r="BE10" s="23"/>
      <c r="BF10" s="38"/>
      <c r="BG10" s="59"/>
      <c r="BH10" s="38"/>
      <c r="BI10" s="38"/>
    </row>
    <row r="11" spans="1:63" x14ac:dyDescent="0.25">
      <c r="A11" s="313">
        <v>147</v>
      </c>
      <c r="B11" s="313" t="s">
        <v>157</v>
      </c>
      <c r="C11" s="313" t="s">
        <v>114</v>
      </c>
      <c r="D11" s="313" t="s">
        <v>115</v>
      </c>
      <c r="E11" s="313" t="s">
        <v>116</v>
      </c>
      <c r="F11" s="40">
        <v>6.7</v>
      </c>
      <c r="G11" s="40">
        <v>6.3</v>
      </c>
      <c r="H11" s="40">
        <v>6</v>
      </c>
      <c r="I11" s="40">
        <v>6</v>
      </c>
      <c r="J11" s="40">
        <v>7.5</v>
      </c>
      <c r="K11" s="43">
        <f t="shared" ref="K11:K17" si="0">SUM((F11*0.3),(G11*0.25),(H11*0.25),(I11*0.15),(J11*0.05))</f>
        <v>6.3599999999999994</v>
      </c>
      <c r="L11" s="50"/>
      <c r="M11" s="40">
        <v>5.8</v>
      </c>
      <c r="N11" s="40">
        <v>5.5</v>
      </c>
      <c r="O11" s="40">
        <v>6.5</v>
      </c>
      <c r="P11" s="40">
        <v>6.9</v>
      </c>
      <c r="Q11" s="40">
        <v>7.5</v>
      </c>
      <c r="R11" s="43">
        <f t="shared" ref="R11:R17" si="1">SUM((M11*0.1),(N11*0.1),(O11*0.3),(P11*0.3),(Q11*0.2))</f>
        <v>6.65</v>
      </c>
      <c r="S11" s="45"/>
      <c r="T11" s="40">
        <v>4.9000000000000004</v>
      </c>
      <c r="U11" s="40">
        <v>5.5</v>
      </c>
      <c r="V11" s="40">
        <v>5.5</v>
      </c>
      <c r="W11" s="40">
        <v>4.5</v>
      </c>
      <c r="X11" s="40">
        <v>5</v>
      </c>
      <c r="Y11" s="40">
        <v>5</v>
      </c>
      <c r="Z11" s="40">
        <v>4.8</v>
      </c>
      <c r="AA11" s="44">
        <f t="shared" ref="AA11:AA17" si="2">SUM(T11:Z11)</f>
        <v>35.199999999999996</v>
      </c>
      <c r="AB11" s="43">
        <f t="shared" ref="AB11:AB17" si="3">AA11/7</f>
        <v>5.0285714285714276</v>
      </c>
      <c r="AC11" s="50"/>
      <c r="AD11" s="40">
        <f>10-29/13</f>
        <v>7.7692307692307692</v>
      </c>
      <c r="AE11" s="41">
        <v>0</v>
      </c>
      <c r="AF11" s="43">
        <f t="shared" ref="AF11:AF17" si="4">AD11-AE11</f>
        <v>7.7692307692307692</v>
      </c>
      <c r="AG11" s="45"/>
      <c r="AH11" s="40">
        <v>5</v>
      </c>
      <c r="AI11" s="40">
        <v>7</v>
      </c>
      <c r="AJ11" s="40">
        <v>6</v>
      </c>
      <c r="AK11" s="40">
        <v>6.5</v>
      </c>
      <c r="AL11" s="40">
        <v>4.5</v>
      </c>
      <c r="AM11" s="40">
        <v>6.5</v>
      </c>
      <c r="AN11" s="40">
        <v>5.5</v>
      </c>
      <c r="AO11" s="44">
        <f t="shared" ref="AO11:AO17" si="5">SUM(AH11:AN11)</f>
        <v>41</v>
      </c>
      <c r="AP11" s="43">
        <f t="shared" ref="AP11:AP17" si="6">AO11/7</f>
        <v>5.8571428571428568</v>
      </c>
      <c r="AQ11" s="45"/>
      <c r="AR11" s="40">
        <v>7</v>
      </c>
      <c r="AS11" s="40">
        <v>6.5</v>
      </c>
      <c r="AT11" s="40">
        <v>6.5</v>
      </c>
      <c r="AU11" s="40">
        <v>6</v>
      </c>
      <c r="AV11" s="40">
        <v>6</v>
      </c>
      <c r="AW11" s="43">
        <f t="shared" ref="AW11:AW17" si="7">SUM((AR11*0.2),(AS11*0.15),(AT11*0.25),(AU11*0.2),(AV11*0.2))</f>
        <v>6.4</v>
      </c>
      <c r="AX11" s="41">
        <v>0</v>
      </c>
      <c r="AY11" s="43">
        <f t="shared" ref="AY11:AY17" si="8">AW11-AX11</f>
        <v>6.4</v>
      </c>
      <c r="AZ11" s="111"/>
      <c r="BA11" s="422">
        <f t="shared" ref="BA11:BA17" si="9">(K11+R11)/2</f>
        <v>6.5049999999999999</v>
      </c>
      <c r="BB11" s="422">
        <f t="shared" ref="BB11:BB17" si="10">(AB11+AF11)/2</f>
        <v>6.3989010989010984</v>
      </c>
      <c r="BC11" s="422">
        <f t="shared" ref="BC11:BC17" si="11">(AP11+AY11)/2</f>
        <v>6.1285714285714281</v>
      </c>
      <c r="BD11" s="46">
        <f t="shared" ref="BD11:BD17" si="12">SUM((K11*0.25)+(AB11*0.375)+(AP11*0.375))</f>
        <v>5.6721428571428563</v>
      </c>
      <c r="BE11" s="47"/>
      <c r="BF11" s="46">
        <f t="shared" ref="BF11:BF17" si="13">SUM((R11*0.25),(AF11*0.5),(AY11*0.25))</f>
        <v>7.1471153846153843</v>
      </c>
      <c r="BG11" s="112"/>
      <c r="BH11" s="48">
        <f t="shared" ref="BH11:BH17" si="14">AVERAGE(BD11:BF11)</f>
        <v>6.4096291208791207</v>
      </c>
      <c r="BI11" s="42">
        <f t="shared" ref="BI11:BI16" si="15">RANK(BH11,BH$11:BH$17)</f>
        <v>1</v>
      </c>
    </row>
    <row r="12" spans="1:63" x14ac:dyDescent="0.25">
      <c r="A12" s="313">
        <v>151</v>
      </c>
      <c r="B12" s="313" t="s">
        <v>160</v>
      </c>
      <c r="C12" s="313" t="s">
        <v>107</v>
      </c>
      <c r="D12" s="313" t="s">
        <v>108</v>
      </c>
      <c r="E12" s="313" t="s">
        <v>109</v>
      </c>
      <c r="F12" s="40">
        <v>6.7</v>
      </c>
      <c r="G12" s="40">
        <v>6.5</v>
      </c>
      <c r="H12" s="40">
        <v>6.5</v>
      </c>
      <c r="I12" s="40">
        <v>6.9</v>
      </c>
      <c r="J12" s="40">
        <v>7.5</v>
      </c>
      <c r="K12" s="43">
        <f t="shared" si="0"/>
        <v>6.67</v>
      </c>
      <c r="L12" s="50"/>
      <c r="M12" s="40">
        <v>5.5</v>
      </c>
      <c r="N12" s="40">
        <v>5.5</v>
      </c>
      <c r="O12" s="40">
        <v>5.8</v>
      </c>
      <c r="P12" s="40">
        <v>5.5</v>
      </c>
      <c r="Q12" s="40">
        <v>7.5</v>
      </c>
      <c r="R12" s="43">
        <f t="shared" si="1"/>
        <v>5.99</v>
      </c>
      <c r="S12" s="45"/>
      <c r="T12" s="40">
        <v>4.9000000000000004</v>
      </c>
      <c r="U12" s="40">
        <v>5.5</v>
      </c>
      <c r="V12" s="40">
        <v>5.5</v>
      </c>
      <c r="W12" s="40">
        <v>4.8</v>
      </c>
      <c r="X12" s="40">
        <v>5</v>
      </c>
      <c r="Y12" s="40">
        <v>5</v>
      </c>
      <c r="Z12" s="40">
        <v>5.2</v>
      </c>
      <c r="AA12" s="44">
        <f t="shared" si="2"/>
        <v>35.9</v>
      </c>
      <c r="AB12" s="43">
        <f t="shared" si="3"/>
        <v>5.1285714285714281</v>
      </c>
      <c r="AC12" s="50"/>
      <c r="AD12" s="40">
        <f>10-19/9</f>
        <v>7.8888888888888893</v>
      </c>
      <c r="AE12" s="41">
        <v>0</v>
      </c>
      <c r="AF12" s="43">
        <f t="shared" si="4"/>
        <v>7.8888888888888893</v>
      </c>
      <c r="AG12" s="45"/>
      <c r="AH12" s="40">
        <v>5</v>
      </c>
      <c r="AI12" s="40">
        <v>6</v>
      </c>
      <c r="AJ12" s="40">
        <v>6</v>
      </c>
      <c r="AK12" s="40">
        <v>5.5</v>
      </c>
      <c r="AL12" s="40">
        <v>5.5</v>
      </c>
      <c r="AM12" s="40">
        <v>6</v>
      </c>
      <c r="AN12" s="40">
        <v>5.5</v>
      </c>
      <c r="AO12" s="44">
        <f t="shared" si="5"/>
        <v>39.5</v>
      </c>
      <c r="AP12" s="43">
        <f t="shared" si="6"/>
        <v>5.6428571428571432</v>
      </c>
      <c r="AQ12" s="45"/>
      <c r="AR12" s="40">
        <v>7</v>
      </c>
      <c r="AS12" s="40">
        <v>6</v>
      </c>
      <c r="AT12" s="40">
        <v>6</v>
      </c>
      <c r="AU12" s="40">
        <v>5</v>
      </c>
      <c r="AV12" s="40">
        <v>6</v>
      </c>
      <c r="AW12" s="43">
        <f t="shared" si="7"/>
        <v>6</v>
      </c>
      <c r="AX12" s="41">
        <v>0</v>
      </c>
      <c r="AY12" s="43">
        <f t="shared" si="8"/>
        <v>6</v>
      </c>
      <c r="AZ12" s="111"/>
      <c r="BA12" s="422">
        <f t="shared" si="9"/>
        <v>6.33</v>
      </c>
      <c r="BB12" s="422">
        <f t="shared" si="10"/>
        <v>6.5087301587301587</v>
      </c>
      <c r="BC12" s="422">
        <f t="shared" si="11"/>
        <v>5.8214285714285712</v>
      </c>
      <c r="BD12" s="46">
        <f t="shared" si="12"/>
        <v>5.7067857142857141</v>
      </c>
      <c r="BE12" s="47"/>
      <c r="BF12" s="46">
        <f t="shared" si="13"/>
        <v>6.9419444444444451</v>
      </c>
      <c r="BG12" s="112"/>
      <c r="BH12" s="48">
        <f t="shared" si="14"/>
        <v>6.3243650793650801</v>
      </c>
      <c r="BI12" s="42">
        <f t="shared" si="15"/>
        <v>2</v>
      </c>
    </row>
    <row r="13" spans="1:63" x14ac:dyDescent="0.25">
      <c r="A13" s="313">
        <v>159</v>
      </c>
      <c r="B13" s="313" t="s">
        <v>174</v>
      </c>
      <c r="C13" s="313" t="s">
        <v>175</v>
      </c>
      <c r="D13" s="313" t="s">
        <v>176</v>
      </c>
      <c r="E13" s="313" t="s">
        <v>177</v>
      </c>
      <c r="F13" s="40">
        <v>5.8</v>
      </c>
      <c r="G13" s="40">
        <v>5.8</v>
      </c>
      <c r="H13" s="40">
        <v>5.9</v>
      </c>
      <c r="I13" s="40">
        <v>6.8</v>
      </c>
      <c r="J13" s="40">
        <v>7</v>
      </c>
      <c r="K13" s="43">
        <f t="shared" si="0"/>
        <v>6.0350000000000001</v>
      </c>
      <c r="L13" s="50"/>
      <c r="M13" s="40">
        <v>6.2</v>
      </c>
      <c r="N13" s="40">
        <v>6</v>
      </c>
      <c r="O13" s="40">
        <v>6.5</v>
      </c>
      <c r="P13" s="40">
        <v>6.5</v>
      </c>
      <c r="Q13" s="40">
        <v>7</v>
      </c>
      <c r="R13" s="43">
        <f t="shared" si="1"/>
        <v>6.5200000000000005</v>
      </c>
      <c r="S13" s="45"/>
      <c r="T13" s="40">
        <v>3.5</v>
      </c>
      <c r="U13" s="40">
        <v>5</v>
      </c>
      <c r="V13" s="40">
        <v>5</v>
      </c>
      <c r="W13" s="40">
        <v>6.5</v>
      </c>
      <c r="X13" s="40">
        <v>5</v>
      </c>
      <c r="Y13" s="40">
        <v>5.5</v>
      </c>
      <c r="Z13" s="40">
        <v>5</v>
      </c>
      <c r="AA13" s="44">
        <f t="shared" si="2"/>
        <v>35.5</v>
      </c>
      <c r="AB13" s="43">
        <f t="shared" si="3"/>
        <v>5.0714285714285712</v>
      </c>
      <c r="AC13" s="50"/>
      <c r="AD13" s="40">
        <f>10-16/7</f>
        <v>7.7142857142857144</v>
      </c>
      <c r="AE13" s="41">
        <v>0</v>
      </c>
      <c r="AF13" s="43">
        <f t="shared" si="4"/>
        <v>7.7142857142857144</v>
      </c>
      <c r="AG13" s="45"/>
      <c r="AH13" s="40">
        <v>4.5</v>
      </c>
      <c r="AI13" s="40">
        <v>6</v>
      </c>
      <c r="AJ13" s="40">
        <v>7</v>
      </c>
      <c r="AK13" s="40">
        <v>7.5</v>
      </c>
      <c r="AL13" s="40">
        <v>6</v>
      </c>
      <c r="AM13" s="40">
        <v>5.5</v>
      </c>
      <c r="AN13" s="40">
        <v>6</v>
      </c>
      <c r="AO13" s="44">
        <f t="shared" si="5"/>
        <v>42.5</v>
      </c>
      <c r="AP13" s="43">
        <f t="shared" si="6"/>
        <v>6.0714285714285712</v>
      </c>
      <c r="AQ13" s="45"/>
      <c r="AR13" s="40">
        <v>7</v>
      </c>
      <c r="AS13" s="40">
        <v>5.5</v>
      </c>
      <c r="AT13" s="40">
        <v>6</v>
      </c>
      <c r="AU13" s="40">
        <v>5</v>
      </c>
      <c r="AV13" s="40">
        <v>5.8</v>
      </c>
      <c r="AW13" s="43">
        <f t="shared" si="7"/>
        <v>5.8849999999999998</v>
      </c>
      <c r="AX13" s="41">
        <v>0</v>
      </c>
      <c r="AY13" s="43">
        <f t="shared" si="8"/>
        <v>5.8849999999999998</v>
      </c>
      <c r="AZ13" s="111"/>
      <c r="BA13" s="422">
        <f t="shared" si="9"/>
        <v>6.2774999999999999</v>
      </c>
      <c r="BB13" s="422">
        <f t="shared" si="10"/>
        <v>6.3928571428571423</v>
      </c>
      <c r="BC13" s="422">
        <f t="shared" si="11"/>
        <v>5.9782142857142855</v>
      </c>
      <c r="BD13" s="46">
        <f t="shared" si="12"/>
        <v>5.6873214285714289</v>
      </c>
      <c r="BE13" s="47"/>
      <c r="BF13" s="46">
        <f t="shared" si="13"/>
        <v>6.9583928571428579</v>
      </c>
      <c r="BG13" s="112"/>
      <c r="BH13" s="48">
        <f t="shared" si="14"/>
        <v>6.3228571428571438</v>
      </c>
      <c r="BI13" s="42">
        <f t="shared" si="15"/>
        <v>3</v>
      </c>
    </row>
    <row r="14" spans="1:63" x14ac:dyDescent="0.25">
      <c r="A14" s="313">
        <v>136</v>
      </c>
      <c r="B14" s="313" t="s">
        <v>191</v>
      </c>
      <c r="C14" s="313" t="s">
        <v>190</v>
      </c>
      <c r="D14" s="313" t="s">
        <v>152</v>
      </c>
      <c r="E14" s="313" t="s">
        <v>153</v>
      </c>
      <c r="F14" s="40">
        <v>5.9</v>
      </c>
      <c r="G14" s="40">
        <v>5.7</v>
      </c>
      <c r="H14" s="40">
        <v>5.5</v>
      </c>
      <c r="I14" s="40">
        <v>5.8</v>
      </c>
      <c r="J14" s="40">
        <v>9</v>
      </c>
      <c r="K14" s="43">
        <f t="shared" si="0"/>
        <v>5.8900000000000006</v>
      </c>
      <c r="L14" s="50"/>
      <c r="M14" s="40">
        <v>5.3</v>
      </c>
      <c r="N14" s="40">
        <v>5.3</v>
      </c>
      <c r="O14" s="40">
        <v>5.2</v>
      </c>
      <c r="P14" s="40">
        <v>5.3</v>
      </c>
      <c r="Q14" s="40">
        <v>9</v>
      </c>
      <c r="R14" s="43">
        <f t="shared" si="1"/>
        <v>6.01</v>
      </c>
      <c r="S14" s="45"/>
      <c r="T14" s="40">
        <v>5.2</v>
      </c>
      <c r="U14" s="40">
        <v>6</v>
      </c>
      <c r="V14" s="40">
        <v>5.5</v>
      </c>
      <c r="W14" s="40">
        <v>6.5</v>
      </c>
      <c r="X14" s="40">
        <v>5</v>
      </c>
      <c r="Y14" s="40">
        <v>5</v>
      </c>
      <c r="Z14" s="40">
        <v>5.5</v>
      </c>
      <c r="AA14" s="44">
        <f t="shared" si="2"/>
        <v>38.700000000000003</v>
      </c>
      <c r="AB14" s="43">
        <f t="shared" si="3"/>
        <v>5.5285714285714294</v>
      </c>
      <c r="AC14" s="50"/>
      <c r="AD14" s="40">
        <f>10-21/9</f>
        <v>7.6666666666666661</v>
      </c>
      <c r="AE14" s="41">
        <v>0</v>
      </c>
      <c r="AF14" s="43">
        <f t="shared" si="4"/>
        <v>7.6666666666666661</v>
      </c>
      <c r="AG14" s="45"/>
      <c r="AH14" s="40">
        <v>5</v>
      </c>
      <c r="AI14" s="40">
        <v>6</v>
      </c>
      <c r="AJ14" s="40">
        <v>5</v>
      </c>
      <c r="AK14" s="40">
        <v>4.5</v>
      </c>
      <c r="AL14" s="40">
        <v>5.5</v>
      </c>
      <c r="AM14" s="40">
        <v>6</v>
      </c>
      <c r="AN14" s="40">
        <v>5</v>
      </c>
      <c r="AO14" s="44">
        <f t="shared" si="5"/>
        <v>37</v>
      </c>
      <c r="AP14" s="43">
        <f t="shared" si="6"/>
        <v>5.2857142857142856</v>
      </c>
      <c r="AQ14" s="45"/>
      <c r="AR14" s="40">
        <v>6.5</v>
      </c>
      <c r="AS14" s="40">
        <v>6</v>
      </c>
      <c r="AT14" s="40">
        <v>7</v>
      </c>
      <c r="AU14" s="40">
        <v>5.5</v>
      </c>
      <c r="AV14" s="40">
        <v>7.5</v>
      </c>
      <c r="AW14" s="43">
        <f t="shared" si="7"/>
        <v>6.5500000000000007</v>
      </c>
      <c r="AX14" s="41">
        <v>0</v>
      </c>
      <c r="AY14" s="43">
        <f t="shared" si="8"/>
        <v>6.5500000000000007</v>
      </c>
      <c r="AZ14" s="111"/>
      <c r="BA14" s="422">
        <f t="shared" si="9"/>
        <v>5.95</v>
      </c>
      <c r="BB14" s="422">
        <f t="shared" si="10"/>
        <v>6.5976190476190482</v>
      </c>
      <c r="BC14" s="422">
        <f t="shared" si="11"/>
        <v>5.9178571428571427</v>
      </c>
      <c r="BD14" s="46">
        <f t="shared" si="12"/>
        <v>5.5278571428571439</v>
      </c>
      <c r="BE14" s="47"/>
      <c r="BF14" s="46">
        <f t="shared" si="13"/>
        <v>6.9733333333333336</v>
      </c>
      <c r="BG14" s="112"/>
      <c r="BH14" s="48">
        <f t="shared" si="14"/>
        <v>6.2505952380952383</v>
      </c>
      <c r="BI14" s="42">
        <f t="shared" si="15"/>
        <v>4</v>
      </c>
    </row>
    <row r="15" spans="1:63" x14ac:dyDescent="0.25">
      <c r="A15" s="313">
        <v>89</v>
      </c>
      <c r="B15" s="313" t="s">
        <v>125</v>
      </c>
      <c r="C15" s="313" t="s">
        <v>130</v>
      </c>
      <c r="D15" s="313" t="s">
        <v>124</v>
      </c>
      <c r="E15" s="313" t="s">
        <v>132</v>
      </c>
      <c r="F15" s="40">
        <v>5.5</v>
      </c>
      <c r="G15" s="40">
        <v>5.5</v>
      </c>
      <c r="H15" s="40">
        <v>6</v>
      </c>
      <c r="I15" s="40">
        <v>6</v>
      </c>
      <c r="J15" s="40">
        <v>7</v>
      </c>
      <c r="K15" s="43">
        <f t="shared" si="0"/>
        <v>5.7750000000000004</v>
      </c>
      <c r="L15" s="50"/>
      <c r="M15" s="40">
        <v>5.3</v>
      </c>
      <c r="N15" s="40">
        <v>5.3</v>
      </c>
      <c r="O15" s="40">
        <v>5.5</v>
      </c>
      <c r="P15" s="40">
        <v>5.7</v>
      </c>
      <c r="Q15" s="40">
        <v>7</v>
      </c>
      <c r="R15" s="43">
        <f t="shared" si="1"/>
        <v>5.82</v>
      </c>
      <c r="S15" s="45"/>
      <c r="T15" s="40">
        <v>3.8</v>
      </c>
      <c r="U15" s="40">
        <v>6.5</v>
      </c>
      <c r="V15" s="40">
        <v>5.5</v>
      </c>
      <c r="W15" s="40">
        <v>6.5</v>
      </c>
      <c r="X15" s="40">
        <v>5.5</v>
      </c>
      <c r="Y15" s="40">
        <v>4</v>
      </c>
      <c r="Z15" s="40">
        <v>5.2</v>
      </c>
      <c r="AA15" s="44">
        <f t="shared" si="2"/>
        <v>37</v>
      </c>
      <c r="AB15" s="43">
        <f t="shared" si="3"/>
        <v>5.2857142857142856</v>
      </c>
      <c r="AC15" s="50"/>
      <c r="AD15" s="40">
        <f>10-17/7</f>
        <v>7.5714285714285712</v>
      </c>
      <c r="AE15" s="41">
        <v>0</v>
      </c>
      <c r="AF15" s="43">
        <f t="shared" si="4"/>
        <v>7.5714285714285712</v>
      </c>
      <c r="AG15" s="45"/>
      <c r="AH15" s="40">
        <v>4</v>
      </c>
      <c r="AI15" s="40">
        <v>5.5</v>
      </c>
      <c r="AJ15" s="40">
        <v>4</v>
      </c>
      <c r="AK15" s="40">
        <v>6</v>
      </c>
      <c r="AL15" s="40">
        <v>4.5</v>
      </c>
      <c r="AM15" s="40">
        <v>4</v>
      </c>
      <c r="AN15" s="40">
        <v>5.5</v>
      </c>
      <c r="AO15" s="44">
        <f t="shared" si="5"/>
        <v>33.5</v>
      </c>
      <c r="AP15" s="43">
        <f t="shared" si="6"/>
        <v>4.7857142857142856</v>
      </c>
      <c r="AQ15" s="45"/>
      <c r="AR15" s="40">
        <v>6.5</v>
      </c>
      <c r="AS15" s="40">
        <v>6.5</v>
      </c>
      <c r="AT15" s="40">
        <v>6</v>
      </c>
      <c r="AU15" s="40">
        <v>5</v>
      </c>
      <c r="AV15" s="40">
        <v>5.5</v>
      </c>
      <c r="AW15" s="43">
        <f t="shared" si="7"/>
        <v>5.875</v>
      </c>
      <c r="AX15" s="41">
        <v>0</v>
      </c>
      <c r="AY15" s="43">
        <f t="shared" si="8"/>
        <v>5.875</v>
      </c>
      <c r="AZ15" s="111"/>
      <c r="BA15" s="422">
        <f t="shared" si="9"/>
        <v>5.7975000000000003</v>
      </c>
      <c r="BB15" s="422">
        <f t="shared" si="10"/>
        <v>6.4285714285714288</v>
      </c>
      <c r="BC15" s="422">
        <f t="shared" si="11"/>
        <v>5.3303571428571423</v>
      </c>
      <c r="BD15" s="46">
        <f t="shared" si="12"/>
        <v>5.2205357142857149</v>
      </c>
      <c r="BE15" s="47"/>
      <c r="BF15" s="46">
        <f t="shared" si="13"/>
        <v>6.7094642857142857</v>
      </c>
      <c r="BG15" s="112"/>
      <c r="BH15" s="48">
        <f t="shared" si="14"/>
        <v>5.9649999999999999</v>
      </c>
      <c r="BI15" s="42">
        <f t="shared" si="15"/>
        <v>5</v>
      </c>
      <c r="BJ15" s="5"/>
    </row>
    <row r="16" spans="1:63" x14ac:dyDescent="0.25">
      <c r="A16" s="313">
        <v>115</v>
      </c>
      <c r="B16" s="313" t="s">
        <v>194</v>
      </c>
      <c r="C16" s="313" t="s">
        <v>187</v>
      </c>
      <c r="D16" s="313" t="s">
        <v>188</v>
      </c>
      <c r="E16" s="313" t="s">
        <v>120</v>
      </c>
      <c r="F16" s="40">
        <v>5.8</v>
      </c>
      <c r="G16" s="40">
        <v>6.8</v>
      </c>
      <c r="H16" s="40">
        <v>5.8</v>
      </c>
      <c r="I16" s="40">
        <v>6.9</v>
      </c>
      <c r="J16" s="40">
        <v>5</v>
      </c>
      <c r="K16" s="43">
        <f t="shared" si="0"/>
        <v>6.1749999999999998</v>
      </c>
      <c r="L16" s="50"/>
      <c r="M16" s="40">
        <v>5.3</v>
      </c>
      <c r="N16" s="40">
        <v>5.8</v>
      </c>
      <c r="O16" s="40">
        <v>4</v>
      </c>
      <c r="P16" s="40">
        <v>5.5</v>
      </c>
      <c r="Q16" s="40">
        <v>5</v>
      </c>
      <c r="R16" s="43">
        <f t="shared" si="1"/>
        <v>4.9599999999999991</v>
      </c>
      <c r="S16" s="45"/>
      <c r="T16" s="40">
        <v>5.8</v>
      </c>
      <c r="U16" s="40">
        <v>5.5</v>
      </c>
      <c r="V16" s="40">
        <v>2</v>
      </c>
      <c r="W16" s="40">
        <v>1.5</v>
      </c>
      <c r="X16" s="40">
        <v>3</v>
      </c>
      <c r="Y16" s="40">
        <v>3.5</v>
      </c>
      <c r="Z16" s="40">
        <v>4.5</v>
      </c>
      <c r="AA16" s="44">
        <f t="shared" si="2"/>
        <v>25.8</v>
      </c>
      <c r="AB16" s="43">
        <f t="shared" si="3"/>
        <v>3.6857142857142859</v>
      </c>
      <c r="AC16" s="50"/>
      <c r="AD16" s="40">
        <f>10-18/7</f>
        <v>7.4285714285714288</v>
      </c>
      <c r="AE16" s="41">
        <v>0</v>
      </c>
      <c r="AF16" s="43">
        <f t="shared" si="4"/>
        <v>7.4285714285714288</v>
      </c>
      <c r="AG16" s="45"/>
      <c r="AH16" s="40">
        <v>5</v>
      </c>
      <c r="AI16" s="40">
        <v>6.5</v>
      </c>
      <c r="AJ16" s="40">
        <v>4.5</v>
      </c>
      <c r="AK16" s="40">
        <v>4.5</v>
      </c>
      <c r="AL16" s="40">
        <v>4</v>
      </c>
      <c r="AM16" s="40">
        <v>4</v>
      </c>
      <c r="AN16" s="40">
        <v>5.5</v>
      </c>
      <c r="AO16" s="44">
        <f t="shared" si="5"/>
        <v>34</v>
      </c>
      <c r="AP16" s="43">
        <f t="shared" si="6"/>
        <v>4.8571428571428568</v>
      </c>
      <c r="AQ16" s="45"/>
      <c r="AR16" s="40">
        <v>7</v>
      </c>
      <c r="AS16" s="40">
        <v>6</v>
      </c>
      <c r="AT16" s="40">
        <v>6</v>
      </c>
      <c r="AU16" s="40">
        <v>5.8</v>
      </c>
      <c r="AV16" s="40">
        <v>6</v>
      </c>
      <c r="AW16" s="43">
        <f t="shared" si="7"/>
        <v>6.16</v>
      </c>
      <c r="AX16" s="41">
        <v>0</v>
      </c>
      <c r="AY16" s="43">
        <f t="shared" si="8"/>
        <v>6.16</v>
      </c>
      <c r="AZ16" s="111"/>
      <c r="BA16" s="422">
        <f t="shared" si="9"/>
        <v>5.567499999999999</v>
      </c>
      <c r="BB16" s="422">
        <f t="shared" si="10"/>
        <v>5.5571428571428569</v>
      </c>
      <c r="BC16" s="422">
        <f t="shared" si="11"/>
        <v>5.5085714285714289</v>
      </c>
      <c r="BD16" s="46">
        <f t="shared" si="12"/>
        <v>4.7473214285714285</v>
      </c>
      <c r="BE16" s="47"/>
      <c r="BF16" s="46">
        <f t="shared" si="13"/>
        <v>6.4942857142857138</v>
      </c>
      <c r="BG16" s="112"/>
      <c r="BH16" s="48">
        <f t="shared" si="14"/>
        <v>5.6208035714285707</v>
      </c>
      <c r="BI16" s="42">
        <f t="shared" si="15"/>
        <v>6</v>
      </c>
    </row>
    <row r="17" spans="1:61" s="468" customFormat="1" x14ac:dyDescent="0.25">
      <c r="A17" s="389">
        <v>132</v>
      </c>
      <c r="B17" s="389" t="s">
        <v>138</v>
      </c>
      <c r="C17" s="389" t="s">
        <v>192</v>
      </c>
      <c r="D17" s="389" t="s">
        <v>193</v>
      </c>
      <c r="E17" s="389" t="s">
        <v>142</v>
      </c>
      <c r="F17" s="457">
        <v>0</v>
      </c>
      <c r="G17" s="457">
        <v>0</v>
      </c>
      <c r="H17" s="457">
        <v>0</v>
      </c>
      <c r="I17" s="457">
        <v>0</v>
      </c>
      <c r="J17" s="457">
        <v>0</v>
      </c>
      <c r="K17" s="391">
        <f t="shared" si="0"/>
        <v>0</v>
      </c>
      <c r="L17" s="458"/>
      <c r="M17" s="457">
        <v>0</v>
      </c>
      <c r="N17" s="457">
        <v>0</v>
      </c>
      <c r="O17" s="457">
        <v>0</v>
      </c>
      <c r="P17" s="457">
        <v>0</v>
      </c>
      <c r="Q17" s="457">
        <v>0</v>
      </c>
      <c r="R17" s="391">
        <f t="shared" si="1"/>
        <v>0</v>
      </c>
      <c r="S17" s="459"/>
      <c r="T17" s="457">
        <v>0</v>
      </c>
      <c r="U17" s="457">
        <v>0</v>
      </c>
      <c r="V17" s="457">
        <v>0</v>
      </c>
      <c r="W17" s="457">
        <v>0</v>
      </c>
      <c r="X17" s="457">
        <v>0</v>
      </c>
      <c r="Y17" s="457">
        <v>0</v>
      </c>
      <c r="Z17" s="457">
        <v>0</v>
      </c>
      <c r="AA17" s="460">
        <f t="shared" si="2"/>
        <v>0</v>
      </c>
      <c r="AB17" s="391">
        <f t="shared" si="3"/>
        <v>0</v>
      </c>
      <c r="AC17" s="458"/>
      <c r="AD17" s="457">
        <v>0</v>
      </c>
      <c r="AE17" s="461">
        <v>0</v>
      </c>
      <c r="AF17" s="391">
        <f t="shared" si="4"/>
        <v>0</v>
      </c>
      <c r="AG17" s="459"/>
      <c r="AH17" s="457">
        <v>0</v>
      </c>
      <c r="AI17" s="457">
        <v>0</v>
      </c>
      <c r="AJ17" s="457">
        <v>0</v>
      </c>
      <c r="AK17" s="457">
        <v>0</v>
      </c>
      <c r="AL17" s="457">
        <v>0</v>
      </c>
      <c r="AM17" s="457">
        <v>0</v>
      </c>
      <c r="AN17" s="457">
        <v>0</v>
      </c>
      <c r="AO17" s="460">
        <f t="shared" si="5"/>
        <v>0</v>
      </c>
      <c r="AP17" s="391">
        <f t="shared" si="6"/>
        <v>0</v>
      </c>
      <c r="AQ17" s="459"/>
      <c r="AR17" s="457">
        <v>0</v>
      </c>
      <c r="AS17" s="457">
        <v>0</v>
      </c>
      <c r="AT17" s="457">
        <v>0</v>
      </c>
      <c r="AU17" s="457">
        <v>0</v>
      </c>
      <c r="AV17" s="457">
        <v>0</v>
      </c>
      <c r="AW17" s="391">
        <f t="shared" si="7"/>
        <v>0</v>
      </c>
      <c r="AX17" s="461">
        <v>0</v>
      </c>
      <c r="AY17" s="391">
        <f t="shared" si="8"/>
        <v>0</v>
      </c>
      <c r="AZ17" s="462"/>
      <c r="BA17" s="463">
        <f t="shared" si="9"/>
        <v>0</v>
      </c>
      <c r="BB17" s="463">
        <f t="shared" si="10"/>
        <v>0</v>
      </c>
      <c r="BC17" s="463">
        <f t="shared" si="11"/>
        <v>0</v>
      </c>
      <c r="BD17" s="464">
        <f t="shared" si="12"/>
        <v>0</v>
      </c>
      <c r="BE17" s="465"/>
      <c r="BF17" s="464">
        <f t="shared" si="13"/>
        <v>0</v>
      </c>
      <c r="BG17" s="466"/>
      <c r="BH17" s="467">
        <f t="shared" si="14"/>
        <v>0</v>
      </c>
      <c r="BI17" s="42" t="s">
        <v>272</v>
      </c>
    </row>
  </sheetData>
  <sortState ref="A11:BK17">
    <sortCondition descending="1" ref="BH11:BH17"/>
  </sortState>
  <mergeCells count="1">
    <mergeCell ref="A3:B3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5"/>
  <sheetViews>
    <sheetView workbookViewId="0">
      <pane xSplit="2" topLeftCell="C1" activePane="topRight" state="frozen"/>
      <selection pane="topRight" activeCell="A6" sqref="A6"/>
    </sheetView>
  </sheetViews>
  <sheetFormatPr defaultColWidth="9.140625" defaultRowHeight="15" x14ac:dyDescent="0.25"/>
  <cols>
    <col min="1" max="1" width="5.42578125" style="3" customWidth="1"/>
    <col min="2" max="2" width="20.7109375" style="3" customWidth="1"/>
    <col min="3" max="3" width="21.28515625" style="3" customWidth="1"/>
    <col min="4" max="4" width="16.5703125" style="3" customWidth="1"/>
    <col min="5" max="5" width="18.42578125" style="3" customWidth="1"/>
    <col min="6" max="11" width="7.7109375" style="3" customWidth="1"/>
    <col min="12" max="12" width="3.28515625" style="3" customWidth="1"/>
    <col min="13" max="18" width="7.7109375" style="3" customWidth="1"/>
    <col min="19" max="19" width="3.28515625" style="3" customWidth="1"/>
    <col min="20" max="29" width="7.7109375" style="3" customWidth="1"/>
    <col min="30" max="30" width="3.28515625" style="3" customWidth="1"/>
    <col min="31" max="32" width="7.7109375" style="3" customWidth="1"/>
    <col min="33" max="33" width="9.42578125" style="3" customWidth="1"/>
    <col min="34" max="34" width="2.7109375" style="3" customWidth="1"/>
    <col min="35" max="44" width="7.7109375" style="3" customWidth="1"/>
    <col min="45" max="45" width="2.42578125" style="5" customWidth="1"/>
    <col min="46" max="53" width="7.7109375" style="3" customWidth="1"/>
    <col min="54" max="54" width="2.42578125" style="5" customWidth="1"/>
    <col min="55" max="57" width="7.7109375" style="233" customWidth="1"/>
    <col min="58" max="58" width="12.140625" style="3" customWidth="1"/>
    <col min="59" max="59" width="2.7109375" style="5" customWidth="1"/>
    <col min="60" max="60" width="10.42578125" style="3" customWidth="1"/>
    <col min="61" max="61" width="2.7109375" style="5" customWidth="1"/>
    <col min="62" max="62" width="9.140625" style="3"/>
    <col min="63" max="63" width="13.28515625" style="3" customWidth="1"/>
    <col min="64" max="16384" width="9.140625" style="3"/>
  </cols>
  <sheetData>
    <row r="1" spans="1:66" ht="15.75" x14ac:dyDescent="0.25">
      <c r="A1" s="52" t="str">
        <f>CompDetail!A1</f>
        <v>NSW State Championships</v>
      </c>
      <c r="D1" s="4" t="s">
        <v>0</v>
      </c>
      <c r="E1" s="4" t="s">
        <v>259</v>
      </c>
      <c r="G1" s="5"/>
      <c r="H1" s="6"/>
      <c r="I1" s="6"/>
      <c r="J1" s="6"/>
      <c r="K1" s="6"/>
      <c r="L1" s="6"/>
      <c r="T1" s="6"/>
      <c r="U1" s="6"/>
      <c r="V1" s="6"/>
      <c r="W1" s="5"/>
      <c r="AA1" s="6"/>
      <c r="AB1" s="6"/>
      <c r="AC1" s="6"/>
      <c r="AD1" s="6"/>
      <c r="AI1" s="6"/>
      <c r="AJ1" s="6"/>
      <c r="AK1" s="6"/>
      <c r="AL1" s="5"/>
      <c r="AP1" s="6"/>
      <c r="AQ1" s="6"/>
      <c r="AR1" s="6"/>
      <c r="AS1" s="7"/>
      <c r="BK1" s="8">
        <f ca="1">NOW()</f>
        <v>43266.404079513886</v>
      </c>
    </row>
    <row r="2" spans="1:66" ht="15.75" x14ac:dyDescent="0.25">
      <c r="A2" s="53"/>
      <c r="D2" s="4"/>
      <c r="E2" s="4" t="s">
        <v>257</v>
      </c>
      <c r="G2" s="5"/>
      <c r="W2" s="5"/>
      <c r="AL2" s="5"/>
      <c r="AS2" s="10"/>
      <c r="BK2" s="11">
        <f ca="1">NOW()</f>
        <v>43266.404079513886</v>
      </c>
    </row>
    <row r="3" spans="1:66" ht="15.75" x14ac:dyDescent="0.25">
      <c r="A3" s="520" t="str">
        <f>CompDetail!A3</f>
        <v>June 9 to 11 2018</v>
      </c>
      <c r="B3" s="521"/>
      <c r="D3" s="4"/>
      <c r="E3" s="4" t="s">
        <v>258</v>
      </c>
      <c r="F3" s="12"/>
      <c r="G3" s="13"/>
      <c r="H3" s="12"/>
      <c r="I3" s="13"/>
      <c r="J3" s="13"/>
      <c r="K3" s="13"/>
      <c r="L3" s="5"/>
      <c r="M3" s="14"/>
      <c r="N3" s="14"/>
      <c r="O3" s="14"/>
      <c r="P3" s="14"/>
      <c r="Q3" s="14"/>
      <c r="R3" s="14"/>
      <c r="S3" s="5"/>
      <c r="T3" s="15"/>
      <c r="U3" s="16"/>
      <c r="V3" s="16"/>
      <c r="W3" s="16"/>
      <c r="X3" s="16"/>
      <c r="Y3" s="16"/>
      <c r="Z3" s="16"/>
      <c r="AA3" s="16"/>
      <c r="AB3" s="16"/>
      <c r="AC3" s="16"/>
      <c r="AD3" s="5"/>
      <c r="AE3" s="14"/>
      <c r="AF3" s="14"/>
      <c r="AG3" s="14"/>
      <c r="AH3" s="5"/>
      <c r="AI3" s="15"/>
      <c r="AJ3" s="16"/>
      <c r="AK3" s="16"/>
      <c r="AL3" s="16"/>
      <c r="AM3" s="16"/>
      <c r="AN3" s="16"/>
      <c r="AO3" s="16"/>
      <c r="AP3" s="16"/>
      <c r="AQ3" s="16"/>
      <c r="AR3" s="16"/>
      <c r="AT3" s="14"/>
      <c r="AU3" s="14"/>
      <c r="AV3" s="14"/>
      <c r="AW3" s="14"/>
      <c r="AX3" s="14"/>
      <c r="AY3" s="14"/>
      <c r="AZ3" s="14"/>
      <c r="BA3" s="14"/>
    </row>
    <row r="4" spans="1:66" ht="15.75" x14ac:dyDescent="0.25">
      <c r="A4" s="491"/>
      <c r="B4" s="492"/>
      <c r="D4" s="4"/>
      <c r="E4" s="4"/>
      <c r="F4" s="17" t="s">
        <v>31</v>
      </c>
      <c r="G4" s="18"/>
      <c r="H4" s="17"/>
      <c r="I4" s="18"/>
      <c r="J4" s="18"/>
      <c r="K4" s="18"/>
      <c r="M4" s="19" t="s">
        <v>20</v>
      </c>
      <c r="N4" s="19"/>
      <c r="O4" s="19"/>
      <c r="P4" s="19"/>
      <c r="Q4" s="19"/>
      <c r="R4" s="19"/>
      <c r="T4" s="20" t="s">
        <v>31</v>
      </c>
      <c r="U4" s="21"/>
      <c r="V4" s="21"/>
      <c r="W4" s="21"/>
      <c r="X4" s="21"/>
      <c r="Y4" s="21"/>
      <c r="Z4" s="21"/>
      <c r="AA4" s="21"/>
      <c r="AB4" s="21"/>
      <c r="AC4" s="21"/>
      <c r="AE4" s="19" t="s">
        <v>20</v>
      </c>
      <c r="AF4" s="19"/>
      <c r="AG4" s="19"/>
      <c r="AI4" s="20" t="s">
        <v>31</v>
      </c>
      <c r="AJ4" s="21"/>
      <c r="AK4" s="21"/>
      <c r="AL4" s="21"/>
      <c r="AM4" s="21"/>
      <c r="AN4" s="21"/>
      <c r="AO4" s="21"/>
      <c r="AP4" s="21"/>
      <c r="AQ4" s="21"/>
      <c r="AR4" s="21"/>
      <c r="AT4" s="19" t="s">
        <v>20</v>
      </c>
      <c r="AU4" s="19"/>
      <c r="AV4" s="19"/>
      <c r="AW4" s="19"/>
      <c r="AX4" s="19"/>
      <c r="AY4" s="19"/>
      <c r="AZ4" s="19"/>
      <c r="BA4" s="19"/>
    </row>
    <row r="5" spans="1:66" ht="15.75" x14ac:dyDescent="0.25">
      <c r="A5" s="53"/>
      <c r="D5" s="4"/>
      <c r="G5" s="5"/>
      <c r="W5" s="5"/>
      <c r="AL5" s="5"/>
    </row>
    <row r="6" spans="1:66" s="39" customFormat="1" ht="15.75" x14ac:dyDescent="0.25">
      <c r="A6" s="113" t="s">
        <v>67</v>
      </c>
      <c r="B6" s="114"/>
      <c r="F6" s="114" t="s">
        <v>58</v>
      </c>
      <c r="G6" s="49" t="str">
        <f>E1</f>
        <v>C Wicks</v>
      </c>
      <c r="I6" s="114"/>
      <c r="M6" s="114" t="s">
        <v>58</v>
      </c>
      <c r="N6" s="39" t="str">
        <f>E1</f>
        <v>C Wicks</v>
      </c>
      <c r="T6" s="114" t="s">
        <v>57</v>
      </c>
      <c r="U6" s="39" t="str">
        <f>E2</f>
        <v>A Deeks</v>
      </c>
      <c r="W6" s="49"/>
      <c r="AE6" s="114" t="s">
        <v>57</v>
      </c>
      <c r="AF6" s="39" t="str">
        <f>E2</f>
        <v>A Deeks</v>
      </c>
      <c r="AI6" s="114" t="s">
        <v>59</v>
      </c>
      <c r="AJ6" s="39" t="str">
        <f>E3</f>
        <v>J Scott</v>
      </c>
      <c r="AL6" s="49"/>
      <c r="AS6" s="49"/>
      <c r="AT6" s="114" t="s">
        <v>59</v>
      </c>
      <c r="AU6" s="39" t="str">
        <f>E3</f>
        <v>J Scott</v>
      </c>
      <c r="AZ6" s="114"/>
      <c r="BA6" s="114"/>
      <c r="BB6" s="49"/>
      <c r="BC6" s="233"/>
      <c r="BD6" s="233"/>
      <c r="BE6" s="233"/>
      <c r="BF6" s="114" t="s">
        <v>21</v>
      </c>
      <c r="BG6" s="49"/>
      <c r="BI6" s="49"/>
    </row>
    <row r="7" spans="1:66" ht="15.75" x14ac:dyDescent="0.25">
      <c r="A7" s="53" t="s">
        <v>64</v>
      </c>
      <c r="B7" s="9" t="s">
        <v>235</v>
      </c>
      <c r="G7" s="5"/>
      <c r="W7" s="5"/>
      <c r="AH7" s="5"/>
      <c r="AL7" s="5"/>
      <c r="BC7" s="486"/>
      <c r="BD7" s="486"/>
      <c r="BE7" s="486"/>
    </row>
    <row r="8" spans="1:66" x14ac:dyDescent="0.25">
      <c r="F8" s="9" t="s">
        <v>35</v>
      </c>
      <c r="K8" s="6"/>
      <c r="L8" s="23"/>
      <c r="M8" s="24"/>
      <c r="N8" s="24"/>
      <c r="O8" s="24"/>
      <c r="P8" s="24"/>
      <c r="Q8" s="22"/>
      <c r="S8" s="5"/>
      <c r="U8" s="6"/>
      <c r="V8" s="6"/>
      <c r="W8" s="6"/>
      <c r="X8" s="6"/>
      <c r="Y8" s="6"/>
      <c r="Z8" s="6"/>
      <c r="AA8" s="6"/>
      <c r="AB8" s="6"/>
      <c r="AC8" s="6"/>
      <c r="AD8" s="23"/>
      <c r="AE8" s="9"/>
      <c r="AF8" s="3" t="s">
        <v>19</v>
      </c>
      <c r="AG8" s="9" t="s">
        <v>22</v>
      </c>
      <c r="AH8" s="5"/>
      <c r="AJ8" s="6"/>
      <c r="AK8" s="6"/>
      <c r="AL8" s="6"/>
      <c r="AM8" s="6"/>
      <c r="AN8" s="6"/>
      <c r="AO8" s="6"/>
      <c r="AP8" s="6"/>
      <c r="AQ8" s="6"/>
      <c r="AR8" s="6"/>
      <c r="BA8" s="22" t="s">
        <v>56</v>
      </c>
      <c r="BF8" s="25" t="s">
        <v>61</v>
      </c>
      <c r="BG8" s="26"/>
      <c r="BH8" s="25" t="s">
        <v>62</v>
      </c>
      <c r="BI8" s="26"/>
      <c r="BJ8" s="27" t="s">
        <v>63</v>
      </c>
      <c r="BK8" s="28"/>
    </row>
    <row r="9" spans="1:66" s="24" customFormat="1" x14ac:dyDescent="0.25">
      <c r="A9" s="29" t="s">
        <v>33</v>
      </c>
      <c r="B9" s="29" t="s">
        <v>34</v>
      </c>
      <c r="C9" s="29" t="s">
        <v>35</v>
      </c>
      <c r="D9" s="29" t="s">
        <v>36</v>
      </c>
      <c r="E9" s="29" t="s">
        <v>37</v>
      </c>
      <c r="F9" s="30" t="s">
        <v>7</v>
      </c>
      <c r="G9" s="30" t="s">
        <v>8</v>
      </c>
      <c r="H9" s="30" t="s">
        <v>9</v>
      </c>
      <c r="I9" s="30" t="s">
        <v>10</v>
      </c>
      <c r="J9" s="30" t="s">
        <v>11</v>
      </c>
      <c r="K9" s="30" t="s">
        <v>35</v>
      </c>
      <c r="L9" s="31"/>
      <c r="M9" s="30" t="s">
        <v>7</v>
      </c>
      <c r="N9" s="30" t="s">
        <v>8</v>
      </c>
      <c r="O9" s="30" t="s">
        <v>9</v>
      </c>
      <c r="P9" s="30" t="s">
        <v>10</v>
      </c>
      <c r="Q9" s="30" t="s">
        <v>11</v>
      </c>
      <c r="R9" s="30" t="s">
        <v>35</v>
      </c>
      <c r="S9" s="54"/>
      <c r="T9" s="29" t="s">
        <v>38</v>
      </c>
      <c r="U9" s="29" t="s">
        <v>39</v>
      </c>
      <c r="V9" s="29" t="s">
        <v>26</v>
      </c>
      <c r="W9" s="29" t="s">
        <v>72</v>
      </c>
      <c r="X9" s="29" t="s">
        <v>73</v>
      </c>
      <c r="Y9" s="29" t="s">
        <v>74</v>
      </c>
      <c r="Z9" s="29" t="s">
        <v>40</v>
      </c>
      <c r="AA9" s="29" t="s">
        <v>71</v>
      </c>
      <c r="AB9" s="29" t="s">
        <v>47</v>
      </c>
      <c r="AC9" s="29" t="s">
        <v>46</v>
      </c>
      <c r="AD9" s="115"/>
      <c r="AE9" s="29" t="s">
        <v>45</v>
      </c>
      <c r="AF9" s="29" t="s">
        <v>18</v>
      </c>
      <c r="AG9" s="32" t="s">
        <v>24</v>
      </c>
      <c r="AH9" s="31"/>
      <c r="AI9" s="29" t="s">
        <v>38</v>
      </c>
      <c r="AJ9" s="29" t="s">
        <v>39</v>
      </c>
      <c r="AK9" s="29" t="s">
        <v>26</v>
      </c>
      <c r="AL9" s="29" t="s">
        <v>72</v>
      </c>
      <c r="AM9" s="29" t="s">
        <v>73</v>
      </c>
      <c r="AN9" s="29" t="s">
        <v>74</v>
      </c>
      <c r="AO9" s="29" t="s">
        <v>40</v>
      </c>
      <c r="AP9" s="29" t="s">
        <v>71</v>
      </c>
      <c r="AQ9" s="29" t="s">
        <v>47</v>
      </c>
      <c r="AR9" s="32" t="s">
        <v>46</v>
      </c>
      <c r="AS9" s="31"/>
      <c r="AT9" s="30" t="s">
        <v>12</v>
      </c>
      <c r="AU9" s="30" t="s">
        <v>13</v>
      </c>
      <c r="AV9" s="30" t="s">
        <v>14</v>
      </c>
      <c r="AW9" s="30" t="s">
        <v>15</v>
      </c>
      <c r="AX9" s="30" t="s">
        <v>16</v>
      </c>
      <c r="AY9" s="30" t="s">
        <v>42</v>
      </c>
      <c r="AZ9" s="29" t="s">
        <v>19</v>
      </c>
      <c r="BA9" s="32" t="s">
        <v>24</v>
      </c>
      <c r="BB9" s="31"/>
      <c r="BC9" s="486" t="s">
        <v>101</v>
      </c>
      <c r="BD9" s="486" t="s">
        <v>102</v>
      </c>
      <c r="BE9" s="486" t="s">
        <v>103</v>
      </c>
      <c r="BF9" s="33" t="s">
        <v>41</v>
      </c>
      <c r="BG9" s="34"/>
      <c r="BH9" s="35" t="s">
        <v>41</v>
      </c>
      <c r="BI9" s="109"/>
      <c r="BJ9" s="35" t="s">
        <v>41</v>
      </c>
      <c r="BK9" s="36" t="s">
        <v>44</v>
      </c>
      <c r="BL9" s="29"/>
      <c r="BM9" s="29"/>
      <c r="BN9" s="29"/>
    </row>
    <row r="10" spans="1:66" s="24" customFormat="1" x14ac:dyDescent="0.25">
      <c r="F10" s="28"/>
      <c r="G10" s="28"/>
      <c r="H10" s="28"/>
      <c r="I10" s="28"/>
      <c r="J10" s="28"/>
      <c r="K10" s="28"/>
      <c r="L10" s="37"/>
      <c r="M10" s="28"/>
      <c r="N10" s="28"/>
      <c r="O10" s="28"/>
      <c r="P10" s="28"/>
      <c r="Q10" s="28"/>
      <c r="R10" s="28"/>
      <c r="S10" s="57"/>
      <c r="AD10" s="116"/>
      <c r="AH10" s="37"/>
      <c r="AS10" s="37"/>
      <c r="AT10" s="28"/>
      <c r="AU10" s="28"/>
      <c r="AV10" s="28"/>
      <c r="AW10" s="28"/>
      <c r="AX10" s="28"/>
      <c r="AY10" s="28"/>
      <c r="BB10" s="37"/>
      <c r="BC10" s="234"/>
      <c r="BD10" s="486"/>
      <c r="BE10" s="486"/>
      <c r="BF10" s="22"/>
      <c r="BG10" s="23"/>
      <c r="BH10" s="38"/>
      <c r="BI10" s="59"/>
      <c r="BJ10" s="38"/>
      <c r="BK10" s="38"/>
    </row>
    <row r="11" spans="1:66" x14ac:dyDescent="0.25">
      <c r="A11" s="311">
        <v>146</v>
      </c>
      <c r="B11" s="311" t="s">
        <v>158</v>
      </c>
      <c r="C11" s="311" t="s">
        <v>114</v>
      </c>
      <c r="D11" s="311" t="s">
        <v>115</v>
      </c>
      <c r="E11" s="311" t="s">
        <v>116</v>
      </c>
      <c r="F11" s="40">
        <v>5.5</v>
      </c>
      <c r="G11" s="40">
        <v>5</v>
      </c>
      <c r="H11" s="40">
        <v>6</v>
      </c>
      <c r="I11" s="40">
        <v>5.8</v>
      </c>
      <c r="J11" s="40">
        <v>6.5</v>
      </c>
      <c r="K11" s="43">
        <f>SUM((F11*0.3),(G11*0.25),(H11*0.25),(I11*0.15),(J11*0.05))</f>
        <v>5.5950000000000006</v>
      </c>
      <c r="L11" s="50"/>
      <c r="M11" s="40">
        <v>7</v>
      </c>
      <c r="N11" s="40">
        <v>7</v>
      </c>
      <c r="O11" s="40">
        <v>7</v>
      </c>
      <c r="P11" s="40">
        <v>7</v>
      </c>
      <c r="Q11" s="40">
        <v>7</v>
      </c>
      <c r="R11" s="43">
        <f>SUM((M11*0.1),(N11*0.1),(O11*0.3),(P11*0.3),(Q11*0.2))</f>
        <v>7</v>
      </c>
      <c r="S11" s="45"/>
      <c r="T11" s="40">
        <v>4.7</v>
      </c>
      <c r="U11" s="40">
        <v>6</v>
      </c>
      <c r="V11" s="40">
        <v>6.5</v>
      </c>
      <c r="W11" s="40">
        <v>5.5</v>
      </c>
      <c r="X11" s="40">
        <v>5.5</v>
      </c>
      <c r="Y11" s="40">
        <v>5.5</v>
      </c>
      <c r="Z11" s="40">
        <v>5</v>
      </c>
      <c r="AA11" s="40">
        <v>5.2</v>
      </c>
      <c r="AB11" s="44">
        <f>SUM(T11:AA11)</f>
        <v>43.900000000000006</v>
      </c>
      <c r="AC11" s="43">
        <f>AB11/8</f>
        <v>5.4875000000000007</v>
      </c>
      <c r="AD11" s="117"/>
      <c r="AE11" s="40">
        <v>8.1</v>
      </c>
      <c r="AF11" s="41">
        <v>0</v>
      </c>
      <c r="AG11" s="43">
        <f>AE11-AF11</f>
        <v>8.1</v>
      </c>
      <c r="AH11" s="45"/>
      <c r="AI11" s="40">
        <v>4.5</v>
      </c>
      <c r="AJ11" s="40">
        <v>5.5</v>
      </c>
      <c r="AK11" s="40">
        <v>6</v>
      </c>
      <c r="AL11" s="40">
        <v>7</v>
      </c>
      <c r="AM11" s="40">
        <v>6.2</v>
      </c>
      <c r="AN11" s="40">
        <v>6.5</v>
      </c>
      <c r="AO11" s="40">
        <v>6.5</v>
      </c>
      <c r="AP11" s="40">
        <v>6</v>
      </c>
      <c r="AQ11" s="44">
        <f>SUM(AI11:AP11)</f>
        <v>48.2</v>
      </c>
      <c r="AR11" s="43">
        <f>AQ11/8</f>
        <v>6.0250000000000004</v>
      </c>
      <c r="AS11" s="50"/>
      <c r="AT11" s="40">
        <v>8</v>
      </c>
      <c r="AU11" s="40">
        <v>8.1999999999999993</v>
      </c>
      <c r="AV11" s="40">
        <v>7.5</v>
      </c>
      <c r="AW11" s="40">
        <v>7.5</v>
      </c>
      <c r="AX11" s="40">
        <v>7</v>
      </c>
      <c r="AY11" s="43">
        <f>SUM((AT11*0.2),(AU11*0.15),(AV11*0.25),(AW11*0.2),(AX11*0.2))</f>
        <v>7.6050000000000004</v>
      </c>
      <c r="AZ11" s="41">
        <v>0</v>
      </c>
      <c r="BA11" s="43">
        <f>AY11-AZ11</f>
        <v>7.6050000000000004</v>
      </c>
      <c r="BB11" s="50"/>
      <c r="BC11" s="236">
        <f>(K11+R11)/2</f>
        <v>6.2975000000000003</v>
      </c>
      <c r="BD11" s="236">
        <f>(AC11+AG11)/2</f>
        <v>6.7937500000000002</v>
      </c>
      <c r="BE11" s="236">
        <f>(AR11+BA11)/2</f>
        <v>6.8150000000000004</v>
      </c>
      <c r="BF11" s="46">
        <f>SUM((K11*0.25)+(AC11*0.375)+(AR11*0.375))</f>
        <v>5.7159375000000008</v>
      </c>
      <c r="BG11" s="47"/>
      <c r="BH11" s="46">
        <f>SUM((R11*0.25),(AG11*0.5),(BA11*0.25))</f>
        <v>7.7012499999999999</v>
      </c>
      <c r="BI11" s="112"/>
      <c r="BJ11" s="48">
        <f>AVERAGE(BF11:BH11)</f>
        <v>6.7085937500000004</v>
      </c>
      <c r="BK11" s="61">
        <f>RANK(BJ11,BJ$11:BJ$14)</f>
        <v>1</v>
      </c>
    </row>
    <row r="12" spans="1:66" x14ac:dyDescent="0.25">
      <c r="A12" s="312">
        <v>137</v>
      </c>
      <c r="B12" s="311" t="s">
        <v>189</v>
      </c>
      <c r="C12" s="311" t="s">
        <v>190</v>
      </c>
      <c r="D12" s="311" t="s">
        <v>152</v>
      </c>
      <c r="E12" s="311" t="s">
        <v>153</v>
      </c>
      <c r="F12" s="40">
        <v>6</v>
      </c>
      <c r="G12" s="40">
        <v>6</v>
      </c>
      <c r="H12" s="40">
        <v>5.8</v>
      </c>
      <c r="I12" s="40">
        <v>7</v>
      </c>
      <c r="J12" s="40">
        <v>7.5</v>
      </c>
      <c r="K12" s="43">
        <f>SUM((F12*0.3),(G12*0.25),(H12*0.25),(I12*0.15),(J12*0.05))</f>
        <v>6.1749999999999998</v>
      </c>
      <c r="L12" s="50"/>
      <c r="M12" s="40">
        <v>7</v>
      </c>
      <c r="N12" s="40">
        <v>6</v>
      </c>
      <c r="O12" s="40">
        <v>5.5</v>
      </c>
      <c r="P12" s="40">
        <v>6</v>
      </c>
      <c r="Q12" s="40">
        <v>7.5</v>
      </c>
      <c r="R12" s="43">
        <f>SUM((M12*0.1),(N12*0.1),(O12*0.3),(P12*0.3),(Q12*0.2))</f>
        <v>6.25</v>
      </c>
      <c r="S12" s="45"/>
      <c r="T12" s="40">
        <v>5</v>
      </c>
      <c r="U12" s="40">
        <v>6</v>
      </c>
      <c r="V12" s="40">
        <v>4.8</v>
      </c>
      <c r="W12" s="40">
        <v>6</v>
      </c>
      <c r="X12" s="40">
        <v>5.5</v>
      </c>
      <c r="Y12" s="40">
        <v>6</v>
      </c>
      <c r="Z12" s="40">
        <v>6</v>
      </c>
      <c r="AA12" s="40">
        <v>5.3</v>
      </c>
      <c r="AB12" s="44">
        <f>SUM(T12:AA12)</f>
        <v>44.599999999999994</v>
      </c>
      <c r="AC12" s="43">
        <f>AB12/8</f>
        <v>5.5749999999999993</v>
      </c>
      <c r="AD12" s="117"/>
      <c r="AE12" s="40">
        <v>8.1</v>
      </c>
      <c r="AF12" s="41">
        <v>0</v>
      </c>
      <c r="AG12" s="43">
        <f>AE12-AF12</f>
        <v>8.1</v>
      </c>
      <c r="AH12" s="45"/>
      <c r="AI12" s="40">
        <v>5.2</v>
      </c>
      <c r="AJ12" s="40">
        <v>6</v>
      </c>
      <c r="AK12" s="40">
        <v>5</v>
      </c>
      <c r="AL12" s="40">
        <v>4.5</v>
      </c>
      <c r="AM12" s="40">
        <v>5.5</v>
      </c>
      <c r="AN12" s="40">
        <v>6.2</v>
      </c>
      <c r="AO12" s="40">
        <v>5.5</v>
      </c>
      <c r="AP12" s="40">
        <v>6</v>
      </c>
      <c r="AQ12" s="44">
        <f>SUM(AI12:AP12)</f>
        <v>43.9</v>
      </c>
      <c r="AR12" s="43">
        <f>AQ12/8</f>
        <v>5.4874999999999998</v>
      </c>
      <c r="AS12" s="50"/>
      <c r="AT12" s="40">
        <v>6.5</v>
      </c>
      <c r="AU12" s="40">
        <v>6</v>
      </c>
      <c r="AV12" s="40">
        <v>6.5</v>
      </c>
      <c r="AW12" s="40">
        <v>6.5</v>
      </c>
      <c r="AX12" s="40">
        <v>6.8</v>
      </c>
      <c r="AY12" s="43">
        <f>SUM((AT12*0.2),(AU12*0.15),(AV12*0.25),(AW12*0.2),(AX12*0.2))</f>
        <v>6.4850000000000003</v>
      </c>
      <c r="AZ12" s="41">
        <v>0</v>
      </c>
      <c r="BA12" s="43">
        <f>AY12-AZ12</f>
        <v>6.4850000000000003</v>
      </c>
      <c r="BB12" s="50"/>
      <c r="BC12" s="236">
        <f>(K12+R12)/2</f>
        <v>6.2125000000000004</v>
      </c>
      <c r="BD12" s="236">
        <f>(AC12+AG12)/2</f>
        <v>6.8374999999999995</v>
      </c>
      <c r="BE12" s="236">
        <f>(AR12+BA12)/2</f>
        <v>5.9862500000000001</v>
      </c>
      <c r="BF12" s="46">
        <f>SUM((K12*0.25)+(AC12*0.375)+(AR12*0.375))</f>
        <v>5.6921874999999993</v>
      </c>
      <c r="BG12" s="47"/>
      <c r="BH12" s="46">
        <f>SUM((R12*0.25),(AG12*0.5),(BA12*0.25))</f>
        <v>7.2337499999999997</v>
      </c>
      <c r="BI12" s="112"/>
      <c r="BJ12" s="48">
        <f>AVERAGE(BF12:BH12)</f>
        <v>6.4629687499999999</v>
      </c>
      <c r="BK12" s="61">
        <f>RANK(BJ12,BJ$11:BJ$14)</f>
        <v>2</v>
      </c>
    </row>
    <row r="13" spans="1:66" x14ac:dyDescent="0.25">
      <c r="A13" s="312">
        <v>96</v>
      </c>
      <c r="B13" s="311" t="s">
        <v>182</v>
      </c>
      <c r="C13" s="311" t="s">
        <v>183</v>
      </c>
      <c r="D13" s="311" t="s">
        <v>184</v>
      </c>
      <c r="E13" s="311" t="s">
        <v>185</v>
      </c>
      <c r="F13" s="40">
        <v>7</v>
      </c>
      <c r="G13" s="40">
        <v>6.5</v>
      </c>
      <c r="H13" s="40">
        <v>7</v>
      </c>
      <c r="I13" s="40">
        <v>7</v>
      </c>
      <c r="J13" s="40">
        <v>7</v>
      </c>
      <c r="K13" s="43">
        <f>SUM((F13*0.3),(G13*0.25),(H13*0.25),(I13*0.15),(J13*0.05))</f>
        <v>6.8749999999999991</v>
      </c>
      <c r="L13" s="50"/>
      <c r="M13" s="40">
        <v>6.5</v>
      </c>
      <c r="N13" s="40">
        <v>6</v>
      </c>
      <c r="O13" s="40">
        <v>7</v>
      </c>
      <c r="P13" s="40">
        <v>7</v>
      </c>
      <c r="Q13" s="40">
        <v>5</v>
      </c>
      <c r="R13" s="43">
        <f>SUM((M13*0.1),(N13*0.1),(O13*0.3),(P13*0.3),(Q13*0.2))</f>
        <v>6.45</v>
      </c>
      <c r="S13" s="45"/>
      <c r="T13" s="40">
        <v>4.5</v>
      </c>
      <c r="U13" s="40">
        <v>5.5</v>
      </c>
      <c r="V13" s="40">
        <v>6</v>
      </c>
      <c r="W13" s="40">
        <v>6</v>
      </c>
      <c r="X13" s="40">
        <v>5.5</v>
      </c>
      <c r="Y13" s="40">
        <v>5.3</v>
      </c>
      <c r="Z13" s="40">
        <v>5.2</v>
      </c>
      <c r="AA13" s="40">
        <v>0</v>
      </c>
      <c r="AB13" s="44">
        <f>SUM(T13:AA13)</f>
        <v>38</v>
      </c>
      <c r="AC13" s="43">
        <f>AB13/8</f>
        <v>4.75</v>
      </c>
      <c r="AD13" s="117"/>
      <c r="AE13" s="40">
        <v>7.8</v>
      </c>
      <c r="AF13" s="41">
        <v>0</v>
      </c>
      <c r="AG13" s="43">
        <f>AE13-AF13</f>
        <v>7.8</v>
      </c>
      <c r="AH13" s="45"/>
      <c r="AI13" s="40">
        <v>5</v>
      </c>
      <c r="AJ13" s="40">
        <v>6</v>
      </c>
      <c r="AK13" s="40">
        <v>5.2</v>
      </c>
      <c r="AL13" s="40">
        <v>6.2</v>
      </c>
      <c r="AM13" s="40">
        <v>5.5</v>
      </c>
      <c r="AN13" s="40">
        <v>5.5</v>
      </c>
      <c r="AO13" s="40">
        <v>6.5</v>
      </c>
      <c r="AP13" s="40">
        <v>7</v>
      </c>
      <c r="AQ13" s="44">
        <f>SUM(AI13:AP13)</f>
        <v>46.9</v>
      </c>
      <c r="AR13" s="43">
        <f>AQ13/8</f>
        <v>5.8624999999999998</v>
      </c>
      <c r="AS13" s="50"/>
      <c r="AT13" s="40">
        <v>6.5</v>
      </c>
      <c r="AU13" s="40">
        <v>6</v>
      </c>
      <c r="AV13" s="40">
        <v>6</v>
      </c>
      <c r="AW13" s="40">
        <v>6.5</v>
      </c>
      <c r="AX13" s="40">
        <v>5.5</v>
      </c>
      <c r="AY13" s="43">
        <f>SUM((AT13*0.2),(AU13*0.15),(AV13*0.25),(AW13*0.2),(AX13*0.2))</f>
        <v>6.1</v>
      </c>
      <c r="AZ13" s="41">
        <v>0</v>
      </c>
      <c r="BA13" s="43">
        <f>AY13-AZ13</f>
        <v>6.1</v>
      </c>
      <c r="BB13" s="50"/>
      <c r="BC13" s="236">
        <f>(K13+R13)/2</f>
        <v>6.6624999999999996</v>
      </c>
      <c r="BD13" s="486">
        <f>(AC13+AG13)/2</f>
        <v>6.2750000000000004</v>
      </c>
      <c r="BE13" s="236">
        <f>(AR13+BA13)/2</f>
        <v>5.9812499999999993</v>
      </c>
      <c r="BF13" s="46">
        <f>SUM((K13*0.25)+(AC13*0.375)+(AR13*0.375))</f>
        <v>5.6984374999999998</v>
      </c>
      <c r="BG13" s="47"/>
      <c r="BH13" s="46">
        <f>SUM((R13*0.25),(AG13*0.5),(BA13*0.25))</f>
        <v>7.0374999999999996</v>
      </c>
      <c r="BI13" s="112"/>
      <c r="BJ13" s="48">
        <f>AVERAGE(BF13:BH13)</f>
        <v>6.3679687499999993</v>
      </c>
      <c r="BK13" s="61">
        <f>RANK(BJ13,BJ$11:BJ$14)</f>
        <v>3</v>
      </c>
    </row>
    <row r="14" spans="1:66" x14ac:dyDescent="0.25">
      <c r="A14" s="312">
        <v>122</v>
      </c>
      <c r="B14" s="311" t="s">
        <v>186</v>
      </c>
      <c r="C14" s="311" t="s">
        <v>187</v>
      </c>
      <c r="D14" s="311" t="s">
        <v>188</v>
      </c>
      <c r="E14" s="311" t="s">
        <v>120</v>
      </c>
      <c r="F14" s="40">
        <v>5.8</v>
      </c>
      <c r="G14" s="40">
        <v>5.5</v>
      </c>
      <c r="H14" s="40">
        <v>5</v>
      </c>
      <c r="I14" s="40">
        <v>7</v>
      </c>
      <c r="J14" s="40">
        <v>6</v>
      </c>
      <c r="K14" s="43">
        <f>SUM((F14*0.3),(G14*0.25),(H14*0.25),(I14*0.15),(J14*0.05))</f>
        <v>5.7149999999999999</v>
      </c>
      <c r="L14" s="50"/>
      <c r="M14" s="40">
        <v>5.5</v>
      </c>
      <c r="N14" s="40">
        <v>6.5</v>
      </c>
      <c r="O14" s="40">
        <v>6.5</v>
      </c>
      <c r="P14" s="40">
        <v>7</v>
      </c>
      <c r="Q14" s="40">
        <v>4</v>
      </c>
      <c r="R14" s="43">
        <f>SUM((M14*0.1),(N14*0.1),(O14*0.3),(P14*0.3),(Q14*0.2))</f>
        <v>6.05</v>
      </c>
      <c r="S14" s="45"/>
      <c r="T14" s="40">
        <v>4.8</v>
      </c>
      <c r="U14" s="40">
        <v>4.5</v>
      </c>
      <c r="V14" s="40">
        <v>4.9000000000000004</v>
      </c>
      <c r="W14" s="40">
        <v>6</v>
      </c>
      <c r="X14" s="40">
        <v>2</v>
      </c>
      <c r="Y14" s="40">
        <v>3.5</v>
      </c>
      <c r="Z14" s="40">
        <v>4.5</v>
      </c>
      <c r="AA14" s="40">
        <v>4.5</v>
      </c>
      <c r="AB14" s="44">
        <f>SUM(T14:AA14)</f>
        <v>34.700000000000003</v>
      </c>
      <c r="AC14" s="43">
        <f>AB14/8</f>
        <v>4.3375000000000004</v>
      </c>
      <c r="AD14" s="117"/>
      <c r="AE14" s="40">
        <v>8.1999999999999993</v>
      </c>
      <c r="AF14" s="41">
        <v>0</v>
      </c>
      <c r="AG14" s="43">
        <f>AE14-AF14</f>
        <v>8.1999999999999993</v>
      </c>
      <c r="AH14" s="45"/>
      <c r="AI14" s="40">
        <v>4.5</v>
      </c>
      <c r="AJ14" s="40">
        <v>5</v>
      </c>
      <c r="AK14" s="40">
        <v>4</v>
      </c>
      <c r="AL14" s="40">
        <v>3.5</v>
      </c>
      <c r="AM14" s="40">
        <v>4.5</v>
      </c>
      <c r="AN14" s="40">
        <v>3</v>
      </c>
      <c r="AO14" s="40">
        <v>4</v>
      </c>
      <c r="AP14" s="40">
        <v>6</v>
      </c>
      <c r="AQ14" s="44">
        <f>SUM(AI14:AP14)</f>
        <v>34.5</v>
      </c>
      <c r="AR14" s="43">
        <f>AQ14/8</f>
        <v>4.3125</v>
      </c>
      <c r="AS14" s="50"/>
      <c r="AT14" s="40">
        <v>3.5</v>
      </c>
      <c r="AU14" s="40">
        <v>4.5</v>
      </c>
      <c r="AV14" s="40">
        <v>3</v>
      </c>
      <c r="AW14" s="40">
        <v>5.5</v>
      </c>
      <c r="AX14" s="40">
        <v>4</v>
      </c>
      <c r="AY14" s="43">
        <f>SUM((AT14*0.2),(AU14*0.15),(AV14*0.25),(AW14*0.2),(AX14*0.2))</f>
        <v>4.0250000000000004</v>
      </c>
      <c r="AZ14" s="41">
        <v>0</v>
      </c>
      <c r="BA14" s="43">
        <f>AY14-AZ14</f>
        <v>4.0250000000000004</v>
      </c>
      <c r="BB14" s="50"/>
      <c r="BC14" s="236">
        <f>(K14+R14)/2</f>
        <v>5.8825000000000003</v>
      </c>
      <c r="BD14" s="236">
        <f>(AC14+AG14)/2</f>
        <v>6.2687499999999998</v>
      </c>
      <c r="BE14" s="236">
        <f>(AR14+BA14)/2</f>
        <v>4.1687500000000002</v>
      </c>
      <c r="BF14" s="46">
        <f>SUM((K14*0.25)+(AC14*0.375)+(AR14*0.375))</f>
        <v>4.6725000000000003</v>
      </c>
      <c r="BG14" s="47"/>
      <c r="BH14" s="46">
        <f>SUM((R14*0.25),(AG14*0.5),(BA14*0.25))</f>
        <v>6.6187500000000004</v>
      </c>
      <c r="BI14" s="112"/>
      <c r="BJ14" s="48">
        <f>AVERAGE(BF14:BH14)</f>
        <v>5.6456250000000008</v>
      </c>
      <c r="BK14" s="61">
        <f>RANK(BJ14,BJ$11:BJ$14)</f>
        <v>4</v>
      </c>
    </row>
    <row r="15" spans="1:66" x14ac:dyDescent="0.25">
      <c r="BC15" s="235"/>
      <c r="BD15" s="235"/>
      <c r="BE15" s="235"/>
    </row>
  </sheetData>
  <sortState ref="A11:BN14">
    <sortCondition descending="1" ref="BJ11:BJ14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19"/>
  <sheetViews>
    <sheetView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6.7109375" style="3" customWidth="1"/>
    <col min="2" max="2" width="17.28515625" style="3" customWidth="1"/>
    <col min="3" max="3" width="18.42578125" style="3" customWidth="1"/>
    <col min="4" max="4" width="16.42578125" style="3" customWidth="1"/>
    <col min="5" max="5" width="13.7109375" style="3" customWidth="1"/>
    <col min="6" max="6" width="0.140625" style="3" customWidth="1"/>
    <col min="7" max="8" width="7.7109375" style="3" hidden="1" customWidth="1"/>
    <col min="9" max="11" width="7.7109375" style="3" customWidth="1"/>
    <col min="12" max="12" width="3.28515625" style="3" customWidth="1"/>
    <col min="13" max="18" width="7.7109375" style="3" customWidth="1"/>
    <col min="19" max="19" width="3.28515625" style="3" customWidth="1"/>
    <col min="20" max="29" width="7.7109375" style="3" customWidth="1"/>
    <col min="30" max="30" width="3.28515625" style="3" customWidth="1"/>
    <col min="31" max="32" width="7.7109375" style="3" customWidth="1"/>
    <col min="33" max="33" width="9.42578125" style="3" customWidth="1"/>
    <col min="34" max="34" width="3.42578125" style="5" customWidth="1"/>
    <col min="35" max="44" width="7.7109375" style="5" customWidth="1"/>
    <col min="45" max="45" width="3.28515625" style="5" customWidth="1"/>
    <col min="46" max="52" width="7.7109375" style="5" customWidth="1"/>
    <col min="53" max="53" width="7.7109375" style="3" customWidth="1"/>
    <col min="54" max="54" width="2.7109375" style="5" customWidth="1"/>
    <col min="55" max="55" width="7.42578125" style="233" customWidth="1"/>
    <col min="56" max="57" width="7.7109375" style="233" customWidth="1"/>
    <col min="58" max="58" width="10.42578125" style="3" customWidth="1"/>
    <col min="59" max="59" width="2.7109375" style="5" customWidth="1"/>
    <col min="60" max="60" width="9.140625" style="3"/>
    <col min="61" max="61" width="2.28515625" style="3" customWidth="1"/>
    <col min="62" max="62" width="9.140625" style="3"/>
    <col min="63" max="63" width="12.42578125" style="3" customWidth="1"/>
    <col min="64" max="16384" width="9.140625" style="3"/>
  </cols>
  <sheetData>
    <row r="1" spans="1:68" ht="15.75" x14ac:dyDescent="0.25">
      <c r="A1" s="52" t="str">
        <f>CompDetail!A1</f>
        <v>NSW State Championships</v>
      </c>
      <c r="D1" s="4" t="s">
        <v>0</v>
      </c>
      <c r="E1" s="4" t="s">
        <v>256</v>
      </c>
      <c r="G1" s="5"/>
      <c r="H1" s="6"/>
      <c r="I1" s="6"/>
      <c r="J1" s="6"/>
      <c r="K1" s="6"/>
      <c r="L1" s="6"/>
      <c r="T1" s="6"/>
      <c r="U1" s="6"/>
      <c r="V1" s="6"/>
      <c r="W1" s="5"/>
      <c r="Z1" s="6"/>
      <c r="AA1" s="6"/>
      <c r="AB1" s="6"/>
      <c r="AC1" s="6"/>
      <c r="AD1" s="6"/>
      <c r="AH1" s="3"/>
      <c r="AI1" s="6"/>
      <c r="AJ1" s="6"/>
      <c r="AK1" s="6"/>
      <c r="AM1" s="3"/>
      <c r="AN1" s="3"/>
      <c r="AO1" s="3"/>
      <c r="AP1" s="6"/>
      <c r="AQ1" s="6"/>
      <c r="AR1" s="6"/>
      <c r="AS1" s="7"/>
      <c r="AT1" s="3"/>
      <c r="AU1" s="3"/>
      <c r="AV1" s="3"/>
      <c r="AW1" s="3"/>
      <c r="AX1" s="3"/>
      <c r="AY1" s="3"/>
      <c r="AZ1" s="3"/>
      <c r="BI1" s="5"/>
      <c r="BK1" s="8">
        <f ca="1">NOW()</f>
        <v>43266.404079513886</v>
      </c>
    </row>
    <row r="2" spans="1:68" ht="15.75" x14ac:dyDescent="0.25">
      <c r="A2" s="53"/>
      <c r="D2" s="4"/>
      <c r="E2" s="4" t="s">
        <v>257</v>
      </c>
      <c r="G2" s="5"/>
      <c r="W2" s="5"/>
      <c r="AH2" s="3"/>
      <c r="AI2" s="3"/>
      <c r="AJ2" s="3"/>
      <c r="AK2" s="3"/>
      <c r="AM2" s="3"/>
      <c r="AN2" s="3"/>
      <c r="AO2" s="3"/>
      <c r="AP2" s="3"/>
      <c r="AQ2" s="3"/>
      <c r="AR2" s="3"/>
      <c r="AS2" s="10"/>
      <c r="AT2" s="3"/>
      <c r="AU2" s="3"/>
      <c r="AV2" s="3"/>
      <c r="AW2" s="3"/>
      <c r="AX2" s="3"/>
      <c r="AY2" s="3"/>
      <c r="AZ2" s="3"/>
      <c r="BI2" s="5"/>
      <c r="BK2" s="11">
        <f ca="1">NOW()</f>
        <v>43266.404079513886</v>
      </c>
    </row>
    <row r="3" spans="1:68" ht="15.75" x14ac:dyDescent="0.25">
      <c r="A3" s="520" t="str">
        <f>CompDetail!A3</f>
        <v>June 9 to 11 2018</v>
      </c>
      <c r="B3" s="521"/>
      <c r="D3" s="4"/>
      <c r="E3" s="3" t="s">
        <v>258</v>
      </c>
      <c r="F3" s="12"/>
      <c r="G3" s="13"/>
      <c r="H3" s="12"/>
      <c r="I3" s="13"/>
      <c r="J3" s="13"/>
      <c r="K3" s="13"/>
      <c r="L3" s="5"/>
      <c r="M3" s="14"/>
      <c r="N3" s="14"/>
      <c r="O3" s="14"/>
      <c r="P3" s="14"/>
      <c r="Q3" s="14"/>
      <c r="R3" s="14"/>
      <c r="S3" s="5"/>
      <c r="T3" s="15"/>
      <c r="U3" s="16"/>
      <c r="V3" s="16"/>
      <c r="W3" s="16"/>
      <c r="X3" s="16"/>
      <c r="Y3" s="16"/>
      <c r="Z3" s="16"/>
      <c r="AA3" s="16"/>
      <c r="AB3" s="16"/>
      <c r="AC3" s="16"/>
      <c r="AD3" s="5"/>
      <c r="AE3" s="14"/>
      <c r="AF3" s="14"/>
      <c r="AG3" s="14"/>
      <c r="AI3" s="15"/>
      <c r="AJ3" s="16"/>
      <c r="AK3" s="16"/>
      <c r="AL3" s="16"/>
      <c r="AM3" s="16"/>
      <c r="AN3" s="16"/>
      <c r="AO3" s="16"/>
      <c r="AP3" s="16"/>
      <c r="AQ3" s="16"/>
      <c r="AR3" s="16"/>
      <c r="AT3" s="14"/>
      <c r="AU3" s="14"/>
      <c r="AV3" s="14"/>
      <c r="AW3" s="14"/>
      <c r="AX3" s="14"/>
      <c r="AY3" s="14"/>
      <c r="AZ3" s="14"/>
      <c r="BA3" s="14"/>
      <c r="BI3" s="5"/>
    </row>
    <row r="4" spans="1:68" ht="15.75" x14ac:dyDescent="0.25">
      <c r="A4" s="491"/>
      <c r="B4" s="492"/>
      <c r="D4" s="4"/>
      <c r="F4" s="17" t="s">
        <v>31</v>
      </c>
      <c r="G4" s="18"/>
      <c r="H4" s="17"/>
      <c r="I4" s="18"/>
      <c r="J4" s="18"/>
      <c r="K4" s="18"/>
      <c r="M4" s="19" t="s">
        <v>20</v>
      </c>
      <c r="N4" s="19"/>
      <c r="O4" s="19"/>
      <c r="P4" s="19"/>
      <c r="Q4" s="19"/>
      <c r="R4" s="19"/>
      <c r="T4" s="20" t="s">
        <v>31</v>
      </c>
      <c r="U4" s="21"/>
      <c r="V4" s="21"/>
      <c r="W4" s="21"/>
      <c r="X4" s="21"/>
      <c r="Y4" s="21"/>
      <c r="Z4" s="21"/>
      <c r="AA4" s="21"/>
      <c r="AB4" s="21"/>
      <c r="AC4" s="21"/>
      <c r="AE4" s="19" t="s">
        <v>20</v>
      </c>
      <c r="AF4" s="19"/>
      <c r="AG4" s="19"/>
      <c r="AH4" s="3"/>
      <c r="AI4" s="20" t="s">
        <v>31</v>
      </c>
      <c r="AJ4" s="21"/>
      <c r="AK4" s="21"/>
      <c r="AL4" s="21"/>
      <c r="AM4" s="21"/>
      <c r="AN4" s="21"/>
      <c r="AO4" s="21"/>
      <c r="AP4" s="21"/>
      <c r="AQ4" s="21"/>
      <c r="AR4" s="21"/>
      <c r="AT4" s="19" t="s">
        <v>20</v>
      </c>
      <c r="AU4" s="19"/>
      <c r="AV4" s="19"/>
      <c r="AW4" s="19"/>
      <c r="AX4" s="19"/>
      <c r="AY4" s="19"/>
      <c r="AZ4" s="19"/>
      <c r="BA4" s="19"/>
      <c r="BI4" s="5"/>
    </row>
    <row r="5" spans="1:68" ht="15.75" x14ac:dyDescent="0.25">
      <c r="A5" s="53"/>
      <c r="D5" s="4"/>
      <c r="G5" s="5"/>
      <c r="W5" s="5"/>
      <c r="AH5" s="3"/>
      <c r="AI5" s="3"/>
      <c r="AJ5" s="3"/>
      <c r="AK5" s="3"/>
      <c r="AM5" s="3"/>
      <c r="AN5" s="3"/>
      <c r="AO5" s="3"/>
      <c r="AP5" s="3"/>
      <c r="AQ5" s="3"/>
      <c r="AR5" s="3"/>
      <c r="AT5" s="3"/>
      <c r="AU5" s="3"/>
      <c r="AV5" s="3"/>
      <c r="AW5" s="3"/>
      <c r="AX5" s="3"/>
      <c r="AY5" s="3"/>
      <c r="AZ5" s="3"/>
      <c r="BI5" s="5"/>
    </row>
    <row r="6" spans="1:68" ht="15.75" x14ac:dyDescent="0.25">
      <c r="A6" s="53" t="s">
        <v>262</v>
      </c>
      <c r="B6" s="9"/>
      <c r="F6" s="9" t="s">
        <v>58</v>
      </c>
      <c r="G6" s="5" t="str">
        <f>E1</f>
        <v>R Bruderer</v>
      </c>
      <c r="I6" s="9"/>
      <c r="M6" s="9" t="s">
        <v>58</v>
      </c>
      <c r="N6" s="3" t="str">
        <f>E1</f>
        <v>R Bruderer</v>
      </c>
      <c r="T6" s="9" t="s">
        <v>57</v>
      </c>
      <c r="U6" s="3" t="str">
        <f>E2</f>
        <v>A Deeks</v>
      </c>
      <c r="W6" s="5"/>
      <c r="AE6" s="9" t="s">
        <v>57</v>
      </c>
      <c r="AF6" s="3" t="str">
        <f>E2</f>
        <v>A Deeks</v>
      </c>
      <c r="AH6" s="3"/>
      <c r="AI6" s="9" t="s">
        <v>59</v>
      </c>
      <c r="AJ6" s="3" t="str">
        <f>E3</f>
        <v>J Scott</v>
      </c>
      <c r="AK6" s="3"/>
      <c r="AM6" s="3"/>
      <c r="AN6" s="3"/>
      <c r="AO6" s="3"/>
      <c r="AP6" s="3"/>
      <c r="AQ6" s="3"/>
      <c r="AR6" s="3"/>
      <c r="AT6" s="9" t="s">
        <v>59</v>
      </c>
      <c r="AU6" s="3" t="str">
        <f>E3</f>
        <v>J Scott</v>
      </c>
      <c r="AV6" s="3"/>
      <c r="AW6" s="3"/>
      <c r="AX6" s="3"/>
      <c r="AY6" s="3"/>
      <c r="AZ6" s="9"/>
      <c r="BA6" s="9"/>
      <c r="BF6" s="9" t="s">
        <v>21</v>
      </c>
      <c r="BI6" s="5"/>
    </row>
    <row r="7" spans="1:68" ht="15.75" x14ac:dyDescent="0.25">
      <c r="A7" s="53" t="s">
        <v>64</v>
      </c>
      <c r="B7" s="118" t="s">
        <v>236</v>
      </c>
      <c r="G7" s="5"/>
      <c r="W7" s="5"/>
      <c r="AI7" s="3"/>
      <c r="AJ7" s="3"/>
      <c r="AK7" s="3"/>
      <c r="AM7" s="3"/>
      <c r="AN7" s="3"/>
      <c r="AO7" s="3"/>
      <c r="AP7" s="3"/>
      <c r="AQ7" s="3"/>
      <c r="AR7" s="3"/>
      <c r="AT7" s="3"/>
      <c r="AU7" s="3"/>
      <c r="AV7" s="3"/>
      <c r="AW7" s="3"/>
      <c r="AX7" s="3"/>
      <c r="AY7" s="3"/>
      <c r="AZ7" s="3"/>
      <c r="BC7" s="486"/>
      <c r="BD7" s="486"/>
      <c r="BE7" s="486"/>
      <c r="BI7" s="5"/>
    </row>
    <row r="8" spans="1:68" x14ac:dyDescent="0.25">
      <c r="F8" s="22" t="s">
        <v>35</v>
      </c>
      <c r="K8" s="6"/>
      <c r="L8" s="23"/>
      <c r="M8" s="22" t="s">
        <v>35</v>
      </c>
      <c r="N8" s="24"/>
      <c r="O8" s="24"/>
      <c r="P8" s="24"/>
      <c r="Q8" s="22"/>
      <c r="S8" s="5"/>
      <c r="T8" s="3" t="s">
        <v>17</v>
      </c>
      <c r="U8" s="6"/>
      <c r="V8" s="6"/>
      <c r="W8" s="6"/>
      <c r="X8" s="6"/>
      <c r="Y8" s="6"/>
      <c r="Z8" s="6"/>
      <c r="AA8" s="6"/>
      <c r="AB8" s="6"/>
      <c r="AC8" s="6"/>
      <c r="AD8" s="23"/>
      <c r="AE8" s="9"/>
      <c r="AF8" s="3" t="s">
        <v>19</v>
      </c>
      <c r="AG8" s="9" t="s">
        <v>22</v>
      </c>
      <c r="AI8" s="3"/>
      <c r="AJ8" s="6"/>
      <c r="AK8" s="6"/>
      <c r="AL8" s="6"/>
      <c r="AM8" s="6"/>
      <c r="AN8" s="6"/>
      <c r="AO8" s="6"/>
      <c r="AP8" s="6"/>
      <c r="AQ8" s="6"/>
      <c r="AR8" s="6"/>
      <c r="AT8" s="3"/>
      <c r="AU8" s="3"/>
      <c r="AV8" s="3"/>
      <c r="AW8" s="3"/>
      <c r="AX8" s="3"/>
      <c r="AY8" s="3"/>
      <c r="AZ8" s="3"/>
      <c r="BA8" s="22" t="s">
        <v>56</v>
      </c>
      <c r="BF8" s="119" t="s">
        <v>61</v>
      </c>
      <c r="BG8" s="120"/>
      <c r="BH8" s="119" t="s">
        <v>62</v>
      </c>
      <c r="BI8" s="120"/>
      <c r="BJ8" s="121" t="s">
        <v>63</v>
      </c>
      <c r="BK8" s="28"/>
    </row>
    <row r="9" spans="1:68" s="24" customFormat="1" x14ac:dyDescent="0.25">
      <c r="A9" s="29" t="s">
        <v>33</v>
      </c>
      <c r="B9" s="29" t="s">
        <v>34</v>
      </c>
      <c r="C9" s="29" t="s">
        <v>35</v>
      </c>
      <c r="D9" s="29" t="s">
        <v>36</v>
      </c>
      <c r="E9" s="29" t="s">
        <v>37</v>
      </c>
      <c r="F9" s="30" t="s">
        <v>7</v>
      </c>
      <c r="G9" s="30" t="s">
        <v>8</v>
      </c>
      <c r="H9" s="30" t="s">
        <v>9</v>
      </c>
      <c r="I9" s="30" t="s">
        <v>10</v>
      </c>
      <c r="J9" s="30" t="s">
        <v>11</v>
      </c>
      <c r="K9" s="30" t="s">
        <v>35</v>
      </c>
      <c r="L9" s="31"/>
      <c r="M9" s="30" t="s">
        <v>7</v>
      </c>
      <c r="N9" s="30" t="s">
        <v>8</v>
      </c>
      <c r="O9" s="30" t="s">
        <v>9</v>
      </c>
      <c r="P9" s="30" t="s">
        <v>10</v>
      </c>
      <c r="Q9" s="30" t="s">
        <v>11</v>
      </c>
      <c r="R9" s="30" t="s">
        <v>35</v>
      </c>
      <c r="S9" s="54"/>
      <c r="T9" s="29" t="s">
        <v>38</v>
      </c>
      <c r="U9" s="29" t="s">
        <v>39</v>
      </c>
      <c r="V9" s="29" t="s">
        <v>26</v>
      </c>
      <c r="W9" s="29" t="s">
        <v>69</v>
      </c>
      <c r="X9" s="29" t="s">
        <v>83</v>
      </c>
      <c r="Y9" s="29" t="s">
        <v>84</v>
      </c>
      <c r="Z9" s="29" t="s">
        <v>40</v>
      </c>
      <c r="AA9" s="29" t="s">
        <v>70</v>
      </c>
      <c r="AB9" s="29" t="s">
        <v>47</v>
      </c>
      <c r="AC9" s="32" t="s">
        <v>46</v>
      </c>
      <c r="AD9" s="115"/>
      <c r="AE9" s="29" t="s">
        <v>45</v>
      </c>
      <c r="AF9" s="29" t="s">
        <v>18</v>
      </c>
      <c r="AG9" s="32" t="s">
        <v>24</v>
      </c>
      <c r="AH9" s="31"/>
      <c r="AI9" s="29" t="s">
        <v>38</v>
      </c>
      <c r="AJ9" s="29" t="s">
        <v>39</v>
      </c>
      <c r="AK9" s="29" t="s">
        <v>26</v>
      </c>
      <c r="AL9" s="29" t="s">
        <v>69</v>
      </c>
      <c r="AM9" s="29" t="s">
        <v>83</v>
      </c>
      <c r="AN9" s="29" t="s">
        <v>84</v>
      </c>
      <c r="AO9" s="29" t="s">
        <v>40</v>
      </c>
      <c r="AP9" s="29" t="s">
        <v>71</v>
      </c>
      <c r="AQ9" s="29" t="s">
        <v>47</v>
      </c>
      <c r="AR9" s="32" t="s">
        <v>46</v>
      </c>
      <c r="AS9" s="31"/>
      <c r="AT9" s="30" t="s">
        <v>12</v>
      </c>
      <c r="AU9" s="30" t="s">
        <v>13</v>
      </c>
      <c r="AV9" s="30" t="s">
        <v>14</v>
      </c>
      <c r="AW9" s="30" t="s">
        <v>15</v>
      </c>
      <c r="AX9" s="30" t="s">
        <v>16</v>
      </c>
      <c r="AY9" s="30" t="s">
        <v>42</v>
      </c>
      <c r="AZ9" s="29" t="s">
        <v>19</v>
      </c>
      <c r="BA9" s="32" t="s">
        <v>24</v>
      </c>
      <c r="BB9" s="31"/>
      <c r="BC9" s="486" t="s">
        <v>101</v>
      </c>
      <c r="BD9" s="486" t="s">
        <v>102</v>
      </c>
      <c r="BE9" s="486" t="s">
        <v>103</v>
      </c>
      <c r="BF9" s="122" t="s">
        <v>41</v>
      </c>
      <c r="BG9" s="123"/>
      <c r="BH9" s="124" t="s">
        <v>41</v>
      </c>
      <c r="BI9" s="125"/>
      <c r="BJ9" s="124" t="s">
        <v>41</v>
      </c>
      <c r="BK9" s="36" t="s">
        <v>44</v>
      </c>
      <c r="BL9" s="29"/>
      <c r="BM9" s="29"/>
      <c r="BN9" s="29"/>
      <c r="BO9" s="29"/>
      <c r="BP9" s="29"/>
    </row>
    <row r="10" spans="1:68" s="24" customFormat="1" x14ac:dyDescent="0.25">
      <c r="F10" s="28"/>
      <c r="G10" s="28"/>
      <c r="H10" s="28"/>
      <c r="I10" s="28"/>
      <c r="J10" s="28"/>
      <c r="K10" s="28"/>
      <c r="L10" s="37"/>
      <c r="M10" s="28"/>
      <c r="N10" s="28"/>
      <c r="O10" s="28"/>
      <c r="P10" s="28"/>
      <c r="Q10" s="28"/>
      <c r="R10" s="28"/>
      <c r="S10" s="57"/>
      <c r="AD10" s="116"/>
      <c r="AH10" s="37"/>
      <c r="AS10" s="37"/>
      <c r="AT10" s="28"/>
      <c r="AU10" s="28"/>
      <c r="AV10" s="28"/>
      <c r="AW10" s="28"/>
      <c r="AX10" s="28"/>
      <c r="AY10" s="28"/>
      <c r="BB10" s="37"/>
      <c r="BC10" s="234"/>
      <c r="BD10" s="486"/>
      <c r="BE10" s="486"/>
      <c r="BF10" s="119"/>
      <c r="BG10" s="120"/>
      <c r="BH10" s="121"/>
      <c r="BI10" s="126"/>
      <c r="BJ10" s="121"/>
      <c r="BK10" s="38"/>
    </row>
    <row r="11" spans="1:68" x14ac:dyDescent="0.25">
      <c r="A11" s="286">
        <v>156</v>
      </c>
      <c r="B11" s="284" t="s">
        <v>110</v>
      </c>
      <c r="C11" s="284" t="s">
        <v>107</v>
      </c>
      <c r="D11" s="284" t="s">
        <v>108</v>
      </c>
      <c r="E11" s="284" t="s">
        <v>109</v>
      </c>
      <c r="F11" s="40">
        <v>6</v>
      </c>
      <c r="G11" s="40">
        <v>5</v>
      </c>
      <c r="H11" s="40">
        <v>6</v>
      </c>
      <c r="I11" s="40">
        <v>7</v>
      </c>
      <c r="J11" s="40">
        <v>7.5</v>
      </c>
      <c r="K11" s="43">
        <f t="shared" ref="K11:K18" si="0">SUM((F11*0.1),(G11*0.1),(H11*0.3),(I11*0.3),(J11*0.2))</f>
        <v>6.5</v>
      </c>
      <c r="L11" s="50"/>
      <c r="M11" s="40">
        <v>6.6</v>
      </c>
      <c r="N11" s="40">
        <v>5</v>
      </c>
      <c r="O11" s="40">
        <v>6</v>
      </c>
      <c r="P11" s="40">
        <v>7</v>
      </c>
      <c r="Q11" s="40">
        <v>7.5</v>
      </c>
      <c r="R11" s="43">
        <f t="shared" ref="R11:R18" si="1">SUM((M11*0.1),(N11*0.1),(O11*0.3),(P11*0.3),(Q11*0.2))</f>
        <v>6.5600000000000005</v>
      </c>
      <c r="S11" s="45"/>
      <c r="T11" s="40">
        <v>5.5</v>
      </c>
      <c r="U11" s="40">
        <v>5.5</v>
      </c>
      <c r="V11" s="40">
        <v>6.5</v>
      </c>
      <c r="W11" s="40">
        <v>6.5</v>
      </c>
      <c r="X11" s="40">
        <v>6.3</v>
      </c>
      <c r="Y11" s="40">
        <v>6.8</v>
      </c>
      <c r="Z11" s="40">
        <v>6.5</v>
      </c>
      <c r="AA11" s="40">
        <v>6</v>
      </c>
      <c r="AB11" s="44">
        <f t="shared" ref="AB11:AB18" si="2">SUM(T11:AA11)</f>
        <v>49.6</v>
      </c>
      <c r="AC11" s="43">
        <f t="shared" ref="AC11:AC18" si="3">AB11/8</f>
        <v>6.2</v>
      </c>
      <c r="AD11" s="117"/>
      <c r="AE11" s="40">
        <v>8.6</v>
      </c>
      <c r="AF11" s="41">
        <v>0</v>
      </c>
      <c r="AG11" s="43">
        <f t="shared" ref="AG11:AG18" si="4">AE11-AF11</f>
        <v>8.6</v>
      </c>
      <c r="AH11" s="45"/>
      <c r="AI11" s="40">
        <v>6.5</v>
      </c>
      <c r="AJ11" s="40">
        <v>7</v>
      </c>
      <c r="AK11" s="40">
        <v>6</v>
      </c>
      <c r="AL11" s="40">
        <v>6.2</v>
      </c>
      <c r="AM11" s="40">
        <v>7.5</v>
      </c>
      <c r="AN11" s="40">
        <v>7.2</v>
      </c>
      <c r="AO11" s="40">
        <v>6.2</v>
      </c>
      <c r="AP11" s="40">
        <v>5.5</v>
      </c>
      <c r="AQ11" s="44">
        <f t="shared" ref="AQ11:AQ18" si="5">SUM(AI11:AP11)</f>
        <v>52.100000000000009</v>
      </c>
      <c r="AR11" s="43">
        <f t="shared" ref="AR11:AR18" si="6">AQ11/8</f>
        <v>6.5125000000000011</v>
      </c>
      <c r="AS11" s="45"/>
      <c r="AT11" s="40">
        <v>7</v>
      </c>
      <c r="AU11" s="40">
        <v>6.8</v>
      </c>
      <c r="AV11" s="40">
        <v>7</v>
      </c>
      <c r="AW11" s="40">
        <v>5.5</v>
      </c>
      <c r="AX11" s="40">
        <v>6</v>
      </c>
      <c r="AY11" s="43">
        <f t="shared" ref="AY11:AY18" si="7">SUM((AT11*0.2),(AU11*0.15),(AV11*0.25),(AW11*0.2),(AX11*0.2))</f>
        <v>6.47</v>
      </c>
      <c r="AZ11" s="41"/>
      <c r="BA11" s="43">
        <f t="shared" ref="BA11:BA18" si="8">AY11-AZ11</f>
        <v>6.47</v>
      </c>
      <c r="BB11" s="45"/>
      <c r="BC11" s="236">
        <f t="shared" ref="BC11:BC18" si="9">(K11+R11)/2</f>
        <v>6.53</v>
      </c>
      <c r="BD11" s="236">
        <f t="shared" ref="BD11:BD18" si="10">(AC11+AG11)/2</f>
        <v>7.4</v>
      </c>
      <c r="BE11" s="236">
        <f t="shared" ref="BE11:BE18" si="11">(AR11+BA11)/2</f>
        <v>6.4912500000000009</v>
      </c>
      <c r="BF11" s="46">
        <f t="shared" ref="BF11:BF18" si="12">SUM((K11*0.25)+(AC11*0.375)+(AR11*0.375))</f>
        <v>6.3921875000000004</v>
      </c>
      <c r="BG11" s="47"/>
      <c r="BH11" s="46">
        <f t="shared" ref="BH11:BH18" si="13">SUM((R11*0.25),(AG11*0.5),(BA11*0.25))</f>
        <v>7.5574999999999992</v>
      </c>
      <c r="BI11" s="112"/>
      <c r="BJ11" s="48">
        <f t="shared" ref="BJ11:BJ18" si="14">AVERAGE(BF11:BH11)</f>
        <v>6.9748437499999998</v>
      </c>
      <c r="BK11" s="61">
        <f t="shared" ref="BK11:BK16" si="15">RANK(BJ11,BJ$11:BJ$18)</f>
        <v>1</v>
      </c>
    </row>
    <row r="12" spans="1:68" x14ac:dyDescent="0.25">
      <c r="A12" s="285">
        <v>155</v>
      </c>
      <c r="B12" s="284" t="s">
        <v>106</v>
      </c>
      <c r="C12" s="284" t="s">
        <v>107</v>
      </c>
      <c r="D12" s="284" t="s">
        <v>108</v>
      </c>
      <c r="E12" s="284" t="s">
        <v>109</v>
      </c>
      <c r="F12" s="40">
        <v>6.6</v>
      </c>
      <c r="G12" s="40">
        <v>5</v>
      </c>
      <c r="H12" s="40">
        <v>6</v>
      </c>
      <c r="I12" s="40">
        <v>7</v>
      </c>
      <c r="J12" s="40">
        <v>7.5</v>
      </c>
      <c r="K12" s="43">
        <f t="shared" si="0"/>
        <v>6.5600000000000005</v>
      </c>
      <c r="L12" s="50"/>
      <c r="M12" s="40">
        <v>6.6</v>
      </c>
      <c r="N12" s="40">
        <v>5</v>
      </c>
      <c r="O12" s="40">
        <v>6</v>
      </c>
      <c r="P12" s="40">
        <v>7</v>
      </c>
      <c r="Q12" s="40">
        <v>7.5</v>
      </c>
      <c r="R12" s="43">
        <f t="shared" si="1"/>
        <v>6.5600000000000005</v>
      </c>
      <c r="S12" s="45"/>
      <c r="T12" s="40">
        <v>5.5</v>
      </c>
      <c r="U12" s="40">
        <v>6.5</v>
      </c>
      <c r="V12" s="40">
        <v>7</v>
      </c>
      <c r="W12" s="40">
        <v>6.5</v>
      </c>
      <c r="X12" s="40">
        <v>5.5</v>
      </c>
      <c r="Y12" s="40">
        <v>5.3</v>
      </c>
      <c r="Z12" s="40">
        <v>5</v>
      </c>
      <c r="AA12" s="40">
        <v>5.3</v>
      </c>
      <c r="AB12" s="44">
        <f t="shared" si="2"/>
        <v>46.599999999999994</v>
      </c>
      <c r="AC12" s="43">
        <f t="shared" si="3"/>
        <v>5.8249999999999993</v>
      </c>
      <c r="AD12" s="117"/>
      <c r="AE12" s="40">
        <v>8.6999999999999993</v>
      </c>
      <c r="AF12" s="41">
        <v>0</v>
      </c>
      <c r="AG12" s="43">
        <f t="shared" si="4"/>
        <v>8.6999999999999993</v>
      </c>
      <c r="AH12" s="45"/>
      <c r="AI12" s="40">
        <v>6.5</v>
      </c>
      <c r="AJ12" s="40">
        <v>6.2</v>
      </c>
      <c r="AK12" s="40">
        <v>6.5</v>
      </c>
      <c r="AL12" s="40">
        <v>7.5</v>
      </c>
      <c r="AM12" s="40">
        <v>5.5</v>
      </c>
      <c r="AN12" s="40">
        <v>5</v>
      </c>
      <c r="AO12" s="40">
        <v>4.5</v>
      </c>
      <c r="AP12" s="40">
        <v>7</v>
      </c>
      <c r="AQ12" s="44">
        <f t="shared" si="5"/>
        <v>48.7</v>
      </c>
      <c r="AR12" s="43">
        <f t="shared" si="6"/>
        <v>6.0875000000000004</v>
      </c>
      <c r="AS12" s="45"/>
      <c r="AT12" s="40">
        <v>6</v>
      </c>
      <c r="AU12" s="40">
        <v>6</v>
      </c>
      <c r="AV12" s="40">
        <v>6.5</v>
      </c>
      <c r="AW12" s="40">
        <v>6.2</v>
      </c>
      <c r="AX12" s="40">
        <v>5.5</v>
      </c>
      <c r="AY12" s="43">
        <f t="shared" si="7"/>
        <v>6.0649999999999995</v>
      </c>
      <c r="AZ12" s="41"/>
      <c r="BA12" s="43">
        <f t="shared" si="8"/>
        <v>6.0649999999999995</v>
      </c>
      <c r="BB12" s="45"/>
      <c r="BC12" s="236">
        <f t="shared" si="9"/>
        <v>6.5600000000000005</v>
      </c>
      <c r="BD12" s="236">
        <f t="shared" si="10"/>
        <v>7.2624999999999993</v>
      </c>
      <c r="BE12" s="236">
        <f t="shared" si="11"/>
        <v>6.0762499999999999</v>
      </c>
      <c r="BF12" s="46">
        <f t="shared" si="12"/>
        <v>6.1071875000000002</v>
      </c>
      <c r="BG12" s="47"/>
      <c r="BH12" s="46">
        <f t="shared" si="13"/>
        <v>7.5062499999999996</v>
      </c>
      <c r="BI12" s="112"/>
      <c r="BJ12" s="48">
        <f t="shared" si="14"/>
        <v>6.8067187499999999</v>
      </c>
      <c r="BK12" s="61">
        <f t="shared" si="15"/>
        <v>2</v>
      </c>
    </row>
    <row r="13" spans="1:68" x14ac:dyDescent="0.25">
      <c r="A13" s="286">
        <v>121</v>
      </c>
      <c r="B13" s="284" t="s">
        <v>121</v>
      </c>
      <c r="C13" s="284" t="s">
        <v>118</v>
      </c>
      <c r="D13" s="388" t="s">
        <v>188</v>
      </c>
      <c r="E13" s="284" t="s">
        <v>120</v>
      </c>
      <c r="F13" s="40">
        <v>6</v>
      </c>
      <c r="G13" s="40">
        <v>6.2</v>
      </c>
      <c r="H13" s="40">
        <v>6</v>
      </c>
      <c r="I13" s="40">
        <v>7.8</v>
      </c>
      <c r="J13" s="40">
        <v>8.5</v>
      </c>
      <c r="K13" s="43">
        <f t="shared" si="0"/>
        <v>7.06</v>
      </c>
      <c r="L13" s="50"/>
      <c r="M13" s="40">
        <v>7</v>
      </c>
      <c r="N13" s="40">
        <v>6.4</v>
      </c>
      <c r="O13" s="40">
        <v>6.5</v>
      </c>
      <c r="P13" s="40">
        <v>8</v>
      </c>
      <c r="Q13" s="40">
        <v>8.5</v>
      </c>
      <c r="R13" s="43">
        <f t="shared" si="1"/>
        <v>7.39</v>
      </c>
      <c r="S13" s="45"/>
      <c r="T13" s="40">
        <v>5.2</v>
      </c>
      <c r="U13" s="40">
        <v>6</v>
      </c>
      <c r="V13" s="40">
        <v>5.8</v>
      </c>
      <c r="W13" s="40">
        <v>6</v>
      </c>
      <c r="X13" s="40">
        <v>5.8</v>
      </c>
      <c r="Y13" s="40">
        <v>5.8</v>
      </c>
      <c r="Z13" s="40">
        <v>6</v>
      </c>
      <c r="AA13" s="40">
        <v>5.8</v>
      </c>
      <c r="AB13" s="44">
        <f t="shared" si="2"/>
        <v>46.4</v>
      </c>
      <c r="AC13" s="43">
        <f t="shared" si="3"/>
        <v>5.8</v>
      </c>
      <c r="AD13" s="117"/>
      <c r="AE13" s="40">
        <v>7.8</v>
      </c>
      <c r="AF13" s="41">
        <v>0.4</v>
      </c>
      <c r="AG13" s="43">
        <f t="shared" si="4"/>
        <v>7.3999999999999995</v>
      </c>
      <c r="AH13" s="45"/>
      <c r="AI13" s="40">
        <v>4.5</v>
      </c>
      <c r="AJ13" s="40">
        <v>4.5</v>
      </c>
      <c r="AK13" s="40">
        <v>5.5</v>
      </c>
      <c r="AL13" s="40">
        <v>6.2</v>
      </c>
      <c r="AM13" s="40">
        <v>6</v>
      </c>
      <c r="AN13" s="40">
        <v>6.2</v>
      </c>
      <c r="AO13" s="40">
        <v>6</v>
      </c>
      <c r="AP13" s="40">
        <v>7</v>
      </c>
      <c r="AQ13" s="44">
        <f t="shared" si="5"/>
        <v>45.9</v>
      </c>
      <c r="AR13" s="43">
        <f t="shared" si="6"/>
        <v>5.7374999999999998</v>
      </c>
      <c r="AS13" s="45"/>
      <c r="AT13" s="40">
        <v>6.5</v>
      </c>
      <c r="AU13" s="40">
        <v>7</v>
      </c>
      <c r="AV13" s="40">
        <v>7</v>
      </c>
      <c r="AW13" s="40">
        <v>7.5</v>
      </c>
      <c r="AX13" s="40">
        <v>6</v>
      </c>
      <c r="AY13" s="43">
        <f t="shared" si="7"/>
        <v>6.8</v>
      </c>
      <c r="AZ13" s="41"/>
      <c r="BA13" s="43">
        <f t="shared" si="8"/>
        <v>6.8</v>
      </c>
      <c r="BB13" s="45"/>
      <c r="BC13" s="486">
        <f t="shared" si="9"/>
        <v>7.2249999999999996</v>
      </c>
      <c r="BD13" s="236">
        <f t="shared" si="10"/>
        <v>6.6</v>
      </c>
      <c r="BE13" s="236">
        <f t="shared" si="11"/>
        <v>6.2687499999999998</v>
      </c>
      <c r="BF13" s="46">
        <f t="shared" si="12"/>
        <v>6.0915624999999993</v>
      </c>
      <c r="BG13" s="47"/>
      <c r="BH13" s="46">
        <f t="shared" si="13"/>
        <v>7.2474999999999996</v>
      </c>
      <c r="BI13" s="112"/>
      <c r="BJ13" s="48">
        <f t="shared" si="14"/>
        <v>6.6695312499999995</v>
      </c>
      <c r="BK13" s="61">
        <f t="shared" si="15"/>
        <v>3</v>
      </c>
    </row>
    <row r="14" spans="1:68" x14ac:dyDescent="0.25">
      <c r="A14" s="286">
        <v>157</v>
      </c>
      <c r="B14" s="284" t="s">
        <v>112</v>
      </c>
      <c r="C14" s="284" t="s">
        <v>107</v>
      </c>
      <c r="D14" s="284" t="s">
        <v>108</v>
      </c>
      <c r="E14" s="284" t="s">
        <v>109</v>
      </c>
      <c r="F14" s="40">
        <v>6.6</v>
      </c>
      <c r="G14" s="40">
        <v>5</v>
      </c>
      <c r="H14" s="40">
        <v>6</v>
      </c>
      <c r="I14" s="40">
        <v>7</v>
      </c>
      <c r="J14" s="40">
        <v>7.5</v>
      </c>
      <c r="K14" s="43">
        <f t="shared" si="0"/>
        <v>6.5600000000000005</v>
      </c>
      <c r="L14" s="50"/>
      <c r="M14" s="40">
        <v>6.6</v>
      </c>
      <c r="N14" s="40">
        <v>5</v>
      </c>
      <c r="O14" s="40">
        <v>6</v>
      </c>
      <c r="P14" s="40">
        <v>7</v>
      </c>
      <c r="Q14" s="40">
        <v>7.5</v>
      </c>
      <c r="R14" s="43">
        <f t="shared" si="1"/>
        <v>6.5600000000000005</v>
      </c>
      <c r="S14" s="45"/>
      <c r="T14" s="40">
        <v>4.8</v>
      </c>
      <c r="U14" s="40">
        <v>6</v>
      </c>
      <c r="V14" s="40">
        <v>4.8</v>
      </c>
      <c r="W14" s="40">
        <v>6</v>
      </c>
      <c r="X14" s="40">
        <v>5.3</v>
      </c>
      <c r="Y14" s="40">
        <v>5</v>
      </c>
      <c r="Z14" s="40">
        <v>6.5</v>
      </c>
      <c r="AA14" s="40">
        <v>2.2000000000000002</v>
      </c>
      <c r="AB14" s="44">
        <f t="shared" si="2"/>
        <v>40.600000000000009</v>
      </c>
      <c r="AC14" s="43">
        <f t="shared" si="3"/>
        <v>5.0750000000000011</v>
      </c>
      <c r="AD14" s="117"/>
      <c r="AE14" s="40">
        <v>8</v>
      </c>
      <c r="AF14" s="41">
        <v>0</v>
      </c>
      <c r="AG14" s="43">
        <f t="shared" si="4"/>
        <v>8</v>
      </c>
      <c r="AH14" s="45"/>
      <c r="AI14" s="40">
        <v>4.5</v>
      </c>
      <c r="AJ14" s="40">
        <v>6</v>
      </c>
      <c r="AK14" s="40">
        <v>5.5</v>
      </c>
      <c r="AL14" s="40">
        <v>6.5</v>
      </c>
      <c r="AM14" s="40">
        <v>5.5</v>
      </c>
      <c r="AN14" s="40">
        <v>5.5</v>
      </c>
      <c r="AO14" s="40">
        <v>6.5</v>
      </c>
      <c r="AP14" s="40">
        <v>7.2</v>
      </c>
      <c r="AQ14" s="44">
        <f t="shared" si="5"/>
        <v>47.2</v>
      </c>
      <c r="AR14" s="43">
        <f t="shared" si="6"/>
        <v>5.9</v>
      </c>
      <c r="AS14" s="45"/>
      <c r="AT14" s="40">
        <v>5.5</v>
      </c>
      <c r="AU14" s="40">
        <v>5.2</v>
      </c>
      <c r="AV14" s="40">
        <v>5.5</v>
      </c>
      <c r="AW14" s="40">
        <v>6</v>
      </c>
      <c r="AX14" s="40">
        <v>5.8</v>
      </c>
      <c r="AY14" s="43">
        <f t="shared" si="7"/>
        <v>5.6150000000000002</v>
      </c>
      <c r="AZ14" s="41"/>
      <c r="BA14" s="43">
        <f t="shared" si="8"/>
        <v>5.6150000000000002</v>
      </c>
      <c r="BB14" s="45"/>
      <c r="BC14" s="236">
        <f t="shared" si="9"/>
        <v>6.5600000000000005</v>
      </c>
      <c r="BD14" s="236">
        <f t="shared" si="10"/>
        <v>6.5375000000000005</v>
      </c>
      <c r="BE14" s="236">
        <f t="shared" si="11"/>
        <v>5.7575000000000003</v>
      </c>
      <c r="BF14" s="46">
        <f t="shared" si="12"/>
        <v>5.7556250000000011</v>
      </c>
      <c r="BG14" s="47"/>
      <c r="BH14" s="46">
        <f t="shared" si="13"/>
        <v>7.0437500000000011</v>
      </c>
      <c r="BI14" s="112"/>
      <c r="BJ14" s="48">
        <f t="shared" si="14"/>
        <v>6.3996875000000006</v>
      </c>
      <c r="BK14" s="61">
        <f t="shared" si="15"/>
        <v>4</v>
      </c>
    </row>
    <row r="15" spans="1:68" x14ac:dyDescent="0.25">
      <c r="A15" s="284">
        <v>154</v>
      </c>
      <c r="B15" s="284" t="s">
        <v>111</v>
      </c>
      <c r="C15" s="284" t="s">
        <v>107</v>
      </c>
      <c r="D15" s="284" t="s">
        <v>108</v>
      </c>
      <c r="E15" s="284" t="s">
        <v>109</v>
      </c>
      <c r="F15" s="40">
        <v>6.6</v>
      </c>
      <c r="G15" s="40">
        <v>5</v>
      </c>
      <c r="H15" s="40">
        <v>6</v>
      </c>
      <c r="I15" s="40">
        <v>7</v>
      </c>
      <c r="J15" s="40">
        <v>7.5</v>
      </c>
      <c r="K15" s="43">
        <f t="shared" si="0"/>
        <v>6.5600000000000005</v>
      </c>
      <c r="L15" s="50"/>
      <c r="M15" s="40">
        <v>6.6</v>
      </c>
      <c r="N15" s="40">
        <v>5</v>
      </c>
      <c r="O15" s="40">
        <v>6</v>
      </c>
      <c r="P15" s="40">
        <v>7</v>
      </c>
      <c r="Q15" s="40">
        <v>7.5</v>
      </c>
      <c r="R15" s="43">
        <f t="shared" si="1"/>
        <v>6.5600000000000005</v>
      </c>
      <c r="S15" s="45"/>
      <c r="T15" s="40">
        <v>5.3</v>
      </c>
      <c r="U15" s="40">
        <v>5.5</v>
      </c>
      <c r="V15" s="40">
        <v>4.8</v>
      </c>
      <c r="W15" s="40">
        <v>5.5</v>
      </c>
      <c r="X15" s="40">
        <v>5.5</v>
      </c>
      <c r="Y15" s="40">
        <v>5</v>
      </c>
      <c r="Z15" s="40">
        <v>6</v>
      </c>
      <c r="AA15" s="40">
        <v>5.5</v>
      </c>
      <c r="AB15" s="44">
        <f t="shared" si="2"/>
        <v>43.1</v>
      </c>
      <c r="AC15" s="43">
        <f t="shared" si="3"/>
        <v>5.3875000000000002</v>
      </c>
      <c r="AD15" s="117"/>
      <c r="AE15" s="40">
        <v>7.7</v>
      </c>
      <c r="AF15" s="41">
        <v>0</v>
      </c>
      <c r="AG15" s="43">
        <f t="shared" si="4"/>
        <v>7.7</v>
      </c>
      <c r="AH15" s="45"/>
      <c r="AI15" s="40">
        <v>5</v>
      </c>
      <c r="AJ15" s="40">
        <v>4.5</v>
      </c>
      <c r="AK15" s="40">
        <v>5</v>
      </c>
      <c r="AL15" s="40">
        <v>5.3</v>
      </c>
      <c r="AM15" s="40">
        <v>4.5</v>
      </c>
      <c r="AN15" s="40">
        <v>4.8</v>
      </c>
      <c r="AO15" s="40">
        <v>6</v>
      </c>
      <c r="AP15" s="40">
        <v>6.2</v>
      </c>
      <c r="AQ15" s="44">
        <f t="shared" si="5"/>
        <v>41.300000000000004</v>
      </c>
      <c r="AR15" s="43">
        <f t="shared" si="6"/>
        <v>5.1625000000000005</v>
      </c>
      <c r="AS15" s="45"/>
      <c r="AT15" s="40">
        <v>6</v>
      </c>
      <c r="AU15" s="40">
        <v>5.8</v>
      </c>
      <c r="AV15" s="40">
        <v>6</v>
      </c>
      <c r="AW15" s="40">
        <v>5.2</v>
      </c>
      <c r="AX15" s="40">
        <v>6</v>
      </c>
      <c r="AY15" s="43">
        <f t="shared" si="7"/>
        <v>5.8100000000000005</v>
      </c>
      <c r="AZ15" s="41"/>
      <c r="BA15" s="43">
        <f t="shared" si="8"/>
        <v>5.8100000000000005</v>
      </c>
      <c r="BB15" s="45"/>
      <c r="BC15" s="236">
        <f t="shared" si="9"/>
        <v>6.5600000000000005</v>
      </c>
      <c r="BD15" s="236">
        <f t="shared" si="10"/>
        <v>6.5437500000000002</v>
      </c>
      <c r="BE15" s="236">
        <f t="shared" si="11"/>
        <v>5.4862500000000001</v>
      </c>
      <c r="BF15" s="46">
        <f t="shared" si="12"/>
        <v>5.5962500000000004</v>
      </c>
      <c r="BG15" s="47"/>
      <c r="BH15" s="46">
        <f t="shared" si="13"/>
        <v>6.9425000000000008</v>
      </c>
      <c r="BI15" s="112"/>
      <c r="BJ15" s="48">
        <f t="shared" si="14"/>
        <v>6.2693750000000001</v>
      </c>
      <c r="BK15" s="61">
        <f t="shared" si="15"/>
        <v>5</v>
      </c>
    </row>
    <row r="16" spans="1:68" x14ac:dyDescent="0.25">
      <c r="A16" s="286">
        <v>126</v>
      </c>
      <c r="B16" s="284" t="s">
        <v>122</v>
      </c>
      <c r="C16" s="284" t="s">
        <v>118</v>
      </c>
      <c r="D16" s="388" t="s">
        <v>188</v>
      </c>
      <c r="E16" s="284" t="s">
        <v>120</v>
      </c>
      <c r="F16" s="40">
        <v>6</v>
      </c>
      <c r="G16" s="40">
        <v>6.2</v>
      </c>
      <c r="H16" s="40">
        <v>6</v>
      </c>
      <c r="I16" s="40">
        <v>7.8</v>
      </c>
      <c r="J16" s="40">
        <v>8.5</v>
      </c>
      <c r="K16" s="43">
        <f t="shared" si="0"/>
        <v>7.06</v>
      </c>
      <c r="L16" s="50"/>
      <c r="M16" s="40">
        <v>7</v>
      </c>
      <c r="N16" s="40">
        <v>6.4</v>
      </c>
      <c r="O16" s="40">
        <v>6.5</v>
      </c>
      <c r="P16" s="40">
        <v>8</v>
      </c>
      <c r="Q16" s="40">
        <v>8.5</v>
      </c>
      <c r="R16" s="43">
        <f t="shared" si="1"/>
        <v>7.39</v>
      </c>
      <c r="S16" s="45"/>
      <c r="T16" s="40">
        <v>4</v>
      </c>
      <c r="U16" s="40">
        <v>5.5</v>
      </c>
      <c r="V16" s="40">
        <v>5.5</v>
      </c>
      <c r="W16" s="40">
        <v>6</v>
      </c>
      <c r="X16" s="40">
        <v>5.8</v>
      </c>
      <c r="Y16" s="40">
        <v>5.5</v>
      </c>
      <c r="Z16" s="40">
        <v>5.5</v>
      </c>
      <c r="AA16" s="40">
        <v>5.8</v>
      </c>
      <c r="AB16" s="44">
        <f t="shared" si="2"/>
        <v>43.599999999999994</v>
      </c>
      <c r="AC16" s="43">
        <f t="shared" si="3"/>
        <v>5.4499999999999993</v>
      </c>
      <c r="AD16" s="117"/>
      <c r="AE16" s="40">
        <v>6.8</v>
      </c>
      <c r="AF16" s="41">
        <v>0</v>
      </c>
      <c r="AG16" s="43">
        <f t="shared" si="4"/>
        <v>6.8</v>
      </c>
      <c r="AH16" s="45"/>
      <c r="AI16" s="40">
        <v>3.5</v>
      </c>
      <c r="AJ16" s="40">
        <v>4.8</v>
      </c>
      <c r="AK16" s="40">
        <v>6</v>
      </c>
      <c r="AL16" s="40">
        <v>5.5</v>
      </c>
      <c r="AM16" s="40">
        <v>5</v>
      </c>
      <c r="AN16" s="40">
        <v>5.5</v>
      </c>
      <c r="AO16" s="40">
        <v>6.5</v>
      </c>
      <c r="AP16" s="40">
        <v>5</v>
      </c>
      <c r="AQ16" s="44">
        <f t="shared" si="5"/>
        <v>41.8</v>
      </c>
      <c r="AR16" s="43">
        <f t="shared" si="6"/>
        <v>5.2249999999999996</v>
      </c>
      <c r="AS16" s="45"/>
      <c r="AT16" s="40">
        <v>6</v>
      </c>
      <c r="AU16" s="40">
        <v>6.8</v>
      </c>
      <c r="AV16" s="40">
        <v>6.5</v>
      </c>
      <c r="AW16" s="40">
        <v>5</v>
      </c>
      <c r="AX16" s="40">
        <v>6</v>
      </c>
      <c r="AY16" s="43">
        <f t="shared" si="7"/>
        <v>6.0450000000000008</v>
      </c>
      <c r="AZ16" s="41"/>
      <c r="BA16" s="43">
        <f t="shared" si="8"/>
        <v>6.0450000000000008</v>
      </c>
      <c r="BB16" s="45"/>
      <c r="BC16" s="486">
        <f t="shared" si="9"/>
        <v>7.2249999999999996</v>
      </c>
      <c r="BD16" s="486">
        <f t="shared" si="10"/>
        <v>6.125</v>
      </c>
      <c r="BE16" s="486">
        <f t="shared" si="11"/>
        <v>5.6349999999999998</v>
      </c>
      <c r="BF16" s="46">
        <f t="shared" si="12"/>
        <v>5.7681249999999995</v>
      </c>
      <c r="BG16" s="47"/>
      <c r="BH16" s="46">
        <f t="shared" si="13"/>
        <v>6.75875</v>
      </c>
      <c r="BI16" s="112"/>
      <c r="BJ16" s="48">
        <f t="shared" si="14"/>
        <v>6.2634375000000002</v>
      </c>
      <c r="BK16" s="61">
        <f t="shared" si="15"/>
        <v>6</v>
      </c>
    </row>
    <row r="17" spans="1:63" x14ac:dyDescent="0.25">
      <c r="A17" s="286">
        <v>116</v>
      </c>
      <c r="B17" s="284" t="s">
        <v>117</v>
      </c>
      <c r="C17" s="284" t="s">
        <v>118</v>
      </c>
      <c r="D17" s="388" t="s">
        <v>188</v>
      </c>
      <c r="E17" s="284" t="s">
        <v>120</v>
      </c>
      <c r="F17" s="40">
        <v>6</v>
      </c>
      <c r="G17" s="40">
        <v>6.2</v>
      </c>
      <c r="H17" s="40">
        <v>6</v>
      </c>
      <c r="I17" s="40">
        <v>7.8</v>
      </c>
      <c r="J17" s="40">
        <v>8.5</v>
      </c>
      <c r="K17" s="43">
        <f t="shared" si="0"/>
        <v>7.06</v>
      </c>
      <c r="L17" s="50"/>
      <c r="M17" s="40">
        <v>7</v>
      </c>
      <c r="N17" s="40">
        <v>6.4</v>
      </c>
      <c r="O17" s="40">
        <v>6.5</v>
      </c>
      <c r="P17" s="40">
        <v>8</v>
      </c>
      <c r="Q17" s="40">
        <v>8.5</v>
      </c>
      <c r="R17" s="43">
        <f t="shared" si="1"/>
        <v>7.39</v>
      </c>
      <c r="S17" s="45"/>
      <c r="T17" s="40">
        <v>4</v>
      </c>
      <c r="U17" s="40">
        <v>5.3</v>
      </c>
      <c r="V17" s="40">
        <v>5.2</v>
      </c>
      <c r="W17" s="40">
        <v>5.5</v>
      </c>
      <c r="X17" s="40">
        <v>5.2</v>
      </c>
      <c r="Y17" s="40">
        <v>4.8</v>
      </c>
      <c r="Z17" s="40">
        <v>5.2</v>
      </c>
      <c r="AA17" s="40">
        <v>4.8</v>
      </c>
      <c r="AB17" s="44">
        <f t="shared" si="2"/>
        <v>40</v>
      </c>
      <c r="AC17" s="43">
        <f t="shared" si="3"/>
        <v>5</v>
      </c>
      <c r="AD17" s="117"/>
      <c r="AE17" s="40">
        <v>6.3</v>
      </c>
      <c r="AF17" s="41">
        <v>0</v>
      </c>
      <c r="AG17" s="43">
        <f t="shared" si="4"/>
        <v>6.3</v>
      </c>
      <c r="AH17" s="45"/>
      <c r="AI17" s="40">
        <v>5.2</v>
      </c>
      <c r="AJ17" s="40">
        <v>5.5</v>
      </c>
      <c r="AK17" s="40">
        <v>4</v>
      </c>
      <c r="AL17" s="40">
        <v>6</v>
      </c>
      <c r="AM17" s="40">
        <v>5</v>
      </c>
      <c r="AN17" s="40">
        <v>4.5</v>
      </c>
      <c r="AO17" s="40">
        <v>6</v>
      </c>
      <c r="AP17" s="40">
        <v>7</v>
      </c>
      <c r="AQ17" s="44">
        <f t="shared" si="5"/>
        <v>43.2</v>
      </c>
      <c r="AR17" s="43">
        <f t="shared" si="6"/>
        <v>5.4</v>
      </c>
      <c r="AS17" s="45"/>
      <c r="AT17" s="40">
        <v>5</v>
      </c>
      <c r="AU17" s="40">
        <v>6</v>
      </c>
      <c r="AV17" s="40">
        <v>6</v>
      </c>
      <c r="AW17" s="40">
        <v>3</v>
      </c>
      <c r="AX17" s="40">
        <v>4.5</v>
      </c>
      <c r="AY17" s="43">
        <f t="shared" si="7"/>
        <v>4.9000000000000004</v>
      </c>
      <c r="AZ17" s="41"/>
      <c r="BA17" s="43">
        <f t="shared" si="8"/>
        <v>4.9000000000000004</v>
      </c>
      <c r="BB17" s="45"/>
      <c r="BC17" s="486">
        <f t="shared" si="9"/>
        <v>7.2249999999999996</v>
      </c>
      <c r="BD17" s="236">
        <f t="shared" si="10"/>
        <v>5.65</v>
      </c>
      <c r="BE17" s="236">
        <f t="shared" si="11"/>
        <v>5.15</v>
      </c>
      <c r="BF17" s="46">
        <f t="shared" si="12"/>
        <v>5.665</v>
      </c>
      <c r="BG17" s="47"/>
      <c r="BH17" s="46">
        <f t="shared" si="13"/>
        <v>6.2225000000000001</v>
      </c>
      <c r="BI17" s="112"/>
      <c r="BJ17" s="48">
        <f t="shared" si="14"/>
        <v>5.9437499999999996</v>
      </c>
      <c r="BK17" s="61"/>
    </row>
    <row r="18" spans="1:63" x14ac:dyDescent="0.25">
      <c r="A18" s="286">
        <v>148</v>
      </c>
      <c r="B18" s="284" t="s">
        <v>113</v>
      </c>
      <c r="C18" s="284" t="s">
        <v>114</v>
      </c>
      <c r="D18" s="284" t="s">
        <v>115</v>
      </c>
      <c r="E18" s="284" t="s">
        <v>116</v>
      </c>
      <c r="F18" s="40">
        <v>6.5</v>
      </c>
      <c r="G18" s="40">
        <v>6</v>
      </c>
      <c r="H18" s="40">
        <v>6</v>
      </c>
      <c r="I18" s="40">
        <v>7</v>
      </c>
      <c r="J18" s="40">
        <v>8</v>
      </c>
      <c r="K18" s="43">
        <f t="shared" si="0"/>
        <v>6.75</v>
      </c>
      <c r="L18" s="50"/>
      <c r="M18" s="40">
        <v>6.5</v>
      </c>
      <c r="N18" s="40">
        <v>6</v>
      </c>
      <c r="O18" s="40">
        <v>6</v>
      </c>
      <c r="P18" s="40">
        <v>7</v>
      </c>
      <c r="Q18" s="40">
        <v>8</v>
      </c>
      <c r="R18" s="43">
        <f t="shared" si="1"/>
        <v>6.75</v>
      </c>
      <c r="S18" s="45"/>
      <c r="T18" s="40">
        <v>4</v>
      </c>
      <c r="U18" s="40">
        <v>5.2</v>
      </c>
      <c r="V18" s="40">
        <v>4.8</v>
      </c>
      <c r="W18" s="40">
        <v>5.5</v>
      </c>
      <c r="X18" s="40">
        <v>5.2</v>
      </c>
      <c r="Y18" s="40">
        <v>5.2</v>
      </c>
      <c r="Z18" s="40">
        <v>5.5</v>
      </c>
      <c r="AA18" s="40">
        <v>4</v>
      </c>
      <c r="AB18" s="44">
        <f t="shared" si="2"/>
        <v>39.4</v>
      </c>
      <c r="AC18" s="43">
        <f t="shared" si="3"/>
        <v>4.9249999999999998</v>
      </c>
      <c r="AD18" s="117"/>
      <c r="AE18" s="40">
        <v>6.9</v>
      </c>
      <c r="AF18" s="41">
        <v>0</v>
      </c>
      <c r="AG18" s="43">
        <f t="shared" si="4"/>
        <v>6.9</v>
      </c>
      <c r="AH18" s="45"/>
      <c r="AI18" s="40">
        <v>4.5</v>
      </c>
      <c r="AJ18" s="40">
        <v>5.5</v>
      </c>
      <c r="AK18" s="40">
        <v>4</v>
      </c>
      <c r="AL18" s="40">
        <v>5</v>
      </c>
      <c r="AM18" s="40">
        <v>4.5</v>
      </c>
      <c r="AN18" s="40">
        <v>5</v>
      </c>
      <c r="AO18" s="40">
        <v>4.8</v>
      </c>
      <c r="AP18" s="40">
        <v>4</v>
      </c>
      <c r="AQ18" s="44">
        <f t="shared" si="5"/>
        <v>37.299999999999997</v>
      </c>
      <c r="AR18" s="43">
        <f t="shared" si="6"/>
        <v>4.6624999999999996</v>
      </c>
      <c r="AS18" s="45"/>
      <c r="AT18" s="40">
        <v>4.5</v>
      </c>
      <c r="AU18" s="40">
        <v>5</v>
      </c>
      <c r="AV18" s="40">
        <v>5.2</v>
      </c>
      <c r="AW18" s="40">
        <v>3.5</v>
      </c>
      <c r="AX18" s="40">
        <v>4.5</v>
      </c>
      <c r="AY18" s="43">
        <f t="shared" si="7"/>
        <v>4.5500000000000007</v>
      </c>
      <c r="AZ18" s="41"/>
      <c r="BA18" s="43">
        <f t="shared" si="8"/>
        <v>4.5500000000000007</v>
      </c>
      <c r="BB18" s="45"/>
      <c r="BC18" s="236">
        <f t="shared" si="9"/>
        <v>6.75</v>
      </c>
      <c r="BD18" s="236">
        <f t="shared" si="10"/>
        <v>5.9124999999999996</v>
      </c>
      <c r="BE18" s="236">
        <f t="shared" si="11"/>
        <v>4.6062500000000002</v>
      </c>
      <c r="BF18" s="46">
        <f t="shared" si="12"/>
        <v>5.2828124999999995</v>
      </c>
      <c r="BG18" s="47"/>
      <c r="BH18" s="46">
        <f t="shared" si="13"/>
        <v>6.2750000000000004</v>
      </c>
      <c r="BI18" s="112"/>
      <c r="BJ18" s="48">
        <f t="shared" si="14"/>
        <v>5.7789062500000004</v>
      </c>
      <c r="BK18" s="61"/>
    </row>
    <row r="19" spans="1:63" x14ac:dyDescent="0.25">
      <c r="H19" s="3" t="s">
        <v>86</v>
      </c>
    </row>
  </sheetData>
  <sortState ref="A11:BK18">
    <sortCondition ref="BK11:BK18"/>
  </sortState>
  <mergeCells count="1"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171E-AD1E-4440-B86D-EF9007C407FF}">
  <sheetPr>
    <pageSetUpPr fitToPage="1"/>
  </sheetPr>
  <dimension ref="A1:BP20"/>
  <sheetViews>
    <sheetView workbookViewId="0">
      <pane xSplit="2" topLeftCell="C1" activePane="topRight" state="frozen"/>
      <selection pane="topRight" activeCell="A7" sqref="A7"/>
    </sheetView>
  </sheetViews>
  <sheetFormatPr defaultColWidth="9.140625" defaultRowHeight="15" x14ac:dyDescent="0.25"/>
  <cols>
    <col min="1" max="1" width="6.85546875" style="3" customWidth="1"/>
    <col min="2" max="2" width="17.28515625" style="3" customWidth="1"/>
    <col min="3" max="3" width="18.42578125" style="3" customWidth="1"/>
    <col min="4" max="4" width="16.42578125" style="3" customWidth="1"/>
    <col min="5" max="5" width="13.5703125" style="3" customWidth="1"/>
    <col min="6" max="8" width="7.7109375" style="3" hidden="1" customWidth="1"/>
    <col min="9" max="11" width="7.7109375" style="3" customWidth="1"/>
    <col min="12" max="12" width="3.28515625" style="3" customWidth="1"/>
    <col min="13" max="18" width="7.7109375" style="3" customWidth="1"/>
    <col min="19" max="19" width="3.28515625" style="3" customWidth="1"/>
    <col min="20" max="29" width="7.7109375" style="3" customWidth="1"/>
    <col min="30" max="30" width="3.28515625" style="3" customWidth="1"/>
    <col min="31" max="32" width="7.7109375" style="3" customWidth="1"/>
    <col min="33" max="33" width="9.42578125" style="3" customWidth="1"/>
    <col min="34" max="34" width="3.42578125" style="5" customWidth="1"/>
    <col min="35" max="44" width="7.7109375" style="5" customWidth="1"/>
    <col min="45" max="45" width="3.28515625" style="5" customWidth="1"/>
    <col min="46" max="52" width="7.7109375" style="5" customWidth="1"/>
    <col min="53" max="53" width="7.7109375" style="3" customWidth="1"/>
    <col min="54" max="54" width="2.7109375" style="5" customWidth="1"/>
    <col min="55" max="55" width="7.42578125" style="233" customWidth="1"/>
    <col min="56" max="57" width="7.7109375" style="233" customWidth="1"/>
    <col min="58" max="58" width="10.42578125" style="3" customWidth="1"/>
    <col min="59" max="59" width="2.7109375" style="5" customWidth="1"/>
    <col min="60" max="60" width="9.140625" style="3"/>
    <col min="61" max="61" width="2.28515625" style="3" customWidth="1"/>
    <col min="62" max="62" width="9.140625" style="3"/>
    <col min="63" max="63" width="12.42578125" style="3" customWidth="1"/>
    <col min="64" max="16384" width="9.140625" style="3"/>
  </cols>
  <sheetData>
    <row r="1" spans="1:68" ht="15.75" x14ac:dyDescent="0.25">
      <c r="A1" s="52" t="str">
        <f>CompDetail!A1</f>
        <v>NSW State Championships</v>
      </c>
      <c r="D1" s="4" t="s">
        <v>0</v>
      </c>
      <c r="E1" s="4" t="s">
        <v>258</v>
      </c>
      <c r="G1" s="5"/>
      <c r="H1" s="6"/>
      <c r="I1" s="6"/>
      <c r="J1" s="6"/>
      <c r="K1" s="6"/>
      <c r="L1" s="6"/>
      <c r="T1" s="6"/>
      <c r="U1" s="6"/>
      <c r="V1" s="6"/>
      <c r="W1" s="5"/>
      <c r="Z1" s="6"/>
      <c r="AA1" s="6"/>
      <c r="AB1" s="6"/>
      <c r="AC1" s="6"/>
      <c r="AD1" s="6"/>
      <c r="AH1" s="3"/>
      <c r="AI1" s="6"/>
      <c r="AJ1" s="6"/>
      <c r="AK1" s="6"/>
      <c r="AM1" s="3"/>
      <c r="AN1" s="3"/>
      <c r="AO1" s="3"/>
      <c r="AP1" s="6"/>
      <c r="AQ1" s="6"/>
      <c r="AR1" s="6"/>
      <c r="AS1" s="7"/>
      <c r="AT1" s="3"/>
      <c r="AU1" s="3"/>
      <c r="AV1" s="3"/>
      <c r="AW1" s="3"/>
      <c r="AX1" s="3"/>
      <c r="AY1" s="3"/>
      <c r="AZ1" s="3"/>
      <c r="BI1" s="5"/>
      <c r="BK1" s="8">
        <f ca="1">NOW()</f>
        <v>43266.404079513886</v>
      </c>
    </row>
    <row r="2" spans="1:68" ht="15.75" x14ac:dyDescent="0.25">
      <c r="A2" s="53"/>
      <c r="D2" s="4"/>
      <c r="E2" s="4" t="s">
        <v>256</v>
      </c>
      <c r="G2" s="5"/>
      <c r="W2" s="5"/>
      <c r="AH2" s="3"/>
      <c r="AI2" s="3"/>
      <c r="AJ2" s="3"/>
      <c r="AK2" s="3"/>
      <c r="AM2" s="3"/>
      <c r="AN2" s="3"/>
      <c r="AO2" s="3"/>
      <c r="AP2" s="3"/>
      <c r="AQ2" s="3"/>
      <c r="AR2" s="3"/>
      <c r="AS2" s="10"/>
      <c r="AT2" s="3"/>
      <c r="AU2" s="3"/>
      <c r="AV2" s="3"/>
      <c r="AW2" s="3"/>
      <c r="AX2" s="3"/>
      <c r="AY2" s="3"/>
      <c r="AZ2" s="3"/>
      <c r="BI2" s="5"/>
      <c r="BK2" s="11">
        <f ca="1">NOW()</f>
        <v>43266.404079513886</v>
      </c>
    </row>
    <row r="3" spans="1:68" ht="15.75" x14ac:dyDescent="0.25">
      <c r="A3" s="520" t="str">
        <f>CompDetail!A3</f>
        <v>June 9 to 11 2018</v>
      </c>
      <c r="B3" s="521"/>
      <c r="D3" s="4"/>
      <c r="E3" s="3" t="s">
        <v>259</v>
      </c>
      <c r="F3" s="12"/>
      <c r="G3" s="13"/>
      <c r="H3" s="12"/>
      <c r="I3" s="13"/>
      <c r="J3" s="13"/>
      <c r="K3" s="13"/>
      <c r="L3" s="5"/>
      <c r="M3" s="14"/>
      <c r="N3" s="14"/>
      <c r="O3" s="14"/>
      <c r="P3" s="14"/>
      <c r="Q3" s="14"/>
      <c r="R3" s="14"/>
      <c r="S3" s="5"/>
      <c r="T3" s="15"/>
      <c r="U3" s="16"/>
      <c r="V3" s="16"/>
      <c r="W3" s="16"/>
      <c r="X3" s="16"/>
      <c r="Y3" s="16"/>
      <c r="Z3" s="16"/>
      <c r="AA3" s="16"/>
      <c r="AB3" s="16"/>
      <c r="AC3" s="16"/>
      <c r="AD3" s="5"/>
      <c r="AE3" s="14"/>
      <c r="AF3" s="14"/>
      <c r="AG3" s="14"/>
      <c r="AI3" s="15"/>
      <c r="AJ3" s="16"/>
      <c r="AK3" s="16"/>
      <c r="AL3" s="16"/>
      <c r="AM3" s="16"/>
      <c r="AN3" s="16"/>
      <c r="AO3" s="16"/>
      <c r="AP3" s="16"/>
      <c r="AQ3" s="16"/>
      <c r="AR3" s="16"/>
      <c r="AT3" s="14"/>
      <c r="AU3" s="14"/>
      <c r="AV3" s="14"/>
      <c r="AW3" s="14"/>
      <c r="AX3" s="14"/>
      <c r="AY3" s="14"/>
      <c r="AZ3" s="14"/>
      <c r="BA3" s="14"/>
      <c r="BI3" s="5"/>
    </row>
    <row r="4" spans="1:68" ht="15.75" x14ac:dyDescent="0.25">
      <c r="A4" s="491"/>
      <c r="B4" s="492"/>
      <c r="D4" s="4"/>
      <c r="F4" s="17" t="s">
        <v>31</v>
      </c>
      <c r="G4" s="18"/>
      <c r="H4" s="17"/>
      <c r="I4" s="18"/>
      <c r="J4" s="18"/>
      <c r="K4" s="18"/>
      <c r="M4" s="19" t="s">
        <v>20</v>
      </c>
      <c r="N4" s="19"/>
      <c r="O4" s="19"/>
      <c r="P4" s="19"/>
      <c r="Q4" s="19"/>
      <c r="R4" s="19"/>
      <c r="T4" s="20" t="s">
        <v>31</v>
      </c>
      <c r="U4" s="21"/>
      <c r="V4" s="21"/>
      <c r="W4" s="21"/>
      <c r="X4" s="21"/>
      <c r="Y4" s="21"/>
      <c r="Z4" s="21"/>
      <c r="AA4" s="21"/>
      <c r="AB4" s="21"/>
      <c r="AC4" s="21"/>
      <c r="AE4" s="19" t="s">
        <v>20</v>
      </c>
      <c r="AF4" s="19"/>
      <c r="AG4" s="19"/>
      <c r="AH4" s="3"/>
      <c r="AI4" s="20" t="s">
        <v>31</v>
      </c>
      <c r="AJ4" s="21"/>
      <c r="AK4" s="21"/>
      <c r="AL4" s="21"/>
      <c r="AM4" s="21"/>
      <c r="AN4" s="21"/>
      <c r="AO4" s="21"/>
      <c r="AP4" s="21"/>
      <c r="AQ4" s="21"/>
      <c r="AR4" s="21"/>
      <c r="AT4" s="19" t="s">
        <v>20</v>
      </c>
      <c r="AU4" s="19"/>
      <c r="AV4" s="19"/>
      <c r="AW4" s="19"/>
      <c r="AX4" s="19"/>
      <c r="AY4" s="19"/>
      <c r="AZ4" s="19"/>
      <c r="BA4" s="19"/>
      <c r="BI4" s="5"/>
    </row>
    <row r="5" spans="1:68" ht="15.75" x14ac:dyDescent="0.25">
      <c r="A5" s="53"/>
      <c r="D5" s="4"/>
      <c r="G5" s="5"/>
      <c r="W5" s="5"/>
      <c r="AH5" s="3"/>
      <c r="AI5" s="3"/>
      <c r="AJ5" s="3"/>
      <c r="AK5" s="3"/>
      <c r="AM5" s="3"/>
      <c r="AN5" s="3"/>
      <c r="AO5" s="3"/>
      <c r="AP5" s="3"/>
      <c r="AQ5" s="3"/>
      <c r="AR5" s="3"/>
      <c r="AT5" s="3"/>
      <c r="AU5" s="3"/>
      <c r="AV5" s="3"/>
      <c r="AW5" s="3"/>
      <c r="AX5" s="3"/>
      <c r="AY5" s="3"/>
      <c r="AZ5" s="3"/>
      <c r="BI5" s="5"/>
    </row>
    <row r="6" spans="1:68" ht="15.75" x14ac:dyDescent="0.25">
      <c r="A6" s="53" t="s">
        <v>263</v>
      </c>
      <c r="B6" s="9"/>
      <c r="F6" s="9" t="s">
        <v>58</v>
      </c>
      <c r="G6" s="5" t="str">
        <f>E1</f>
        <v>J Scott</v>
      </c>
      <c r="I6" s="9"/>
      <c r="M6" s="9" t="s">
        <v>58</v>
      </c>
      <c r="N6" s="3" t="str">
        <f>E1</f>
        <v>J Scott</v>
      </c>
      <c r="T6" s="9" t="s">
        <v>57</v>
      </c>
      <c r="U6" s="3" t="str">
        <f>E2</f>
        <v>R Bruderer</v>
      </c>
      <c r="W6" s="5"/>
      <c r="AE6" s="9" t="s">
        <v>57</v>
      </c>
      <c r="AF6" s="3" t="str">
        <f>E2</f>
        <v>R Bruderer</v>
      </c>
      <c r="AH6" s="3"/>
      <c r="AI6" s="9" t="s">
        <v>59</v>
      </c>
      <c r="AJ6" s="3" t="str">
        <f>E3</f>
        <v>C Wicks</v>
      </c>
      <c r="AK6" s="3"/>
      <c r="AM6" s="3"/>
      <c r="AN6" s="3"/>
      <c r="AO6" s="3"/>
      <c r="AP6" s="3"/>
      <c r="AQ6" s="3"/>
      <c r="AR6" s="3"/>
      <c r="AT6" s="9" t="s">
        <v>59</v>
      </c>
      <c r="AU6" s="3" t="str">
        <f>E3</f>
        <v>C Wicks</v>
      </c>
      <c r="AV6" s="3"/>
      <c r="AW6" s="3"/>
      <c r="AX6" s="3"/>
      <c r="AY6" s="3"/>
      <c r="AZ6" s="9"/>
      <c r="BA6" s="9"/>
      <c r="BF6" s="9" t="s">
        <v>21</v>
      </c>
      <c r="BI6" s="5"/>
    </row>
    <row r="7" spans="1:68" ht="15.75" x14ac:dyDescent="0.25">
      <c r="A7" s="53" t="s">
        <v>64</v>
      </c>
      <c r="B7" s="118" t="s">
        <v>236</v>
      </c>
      <c r="G7" s="5"/>
      <c r="W7" s="5"/>
      <c r="AI7" s="3"/>
      <c r="AJ7" s="3"/>
      <c r="AK7" s="3"/>
      <c r="AM7" s="3"/>
      <c r="AN7" s="3"/>
      <c r="AO7" s="3"/>
      <c r="AP7" s="3"/>
      <c r="AQ7" s="3"/>
      <c r="AR7" s="3"/>
      <c r="AT7" s="3"/>
      <c r="AU7" s="3"/>
      <c r="AV7" s="3"/>
      <c r="AW7" s="3"/>
      <c r="AX7" s="3"/>
      <c r="AY7" s="3"/>
      <c r="AZ7" s="3"/>
      <c r="BC7" s="486"/>
      <c r="BD7" s="486"/>
      <c r="BE7" s="486"/>
      <c r="BI7" s="5"/>
    </row>
    <row r="8" spans="1:68" x14ac:dyDescent="0.25">
      <c r="F8" s="22" t="s">
        <v>35</v>
      </c>
      <c r="K8" s="6"/>
      <c r="L8" s="23"/>
      <c r="M8" s="22" t="s">
        <v>35</v>
      </c>
      <c r="N8" s="24"/>
      <c r="O8" s="24"/>
      <c r="P8" s="24"/>
      <c r="Q8" s="22"/>
      <c r="S8" s="5"/>
      <c r="T8" s="3" t="s">
        <v>17</v>
      </c>
      <c r="U8" s="6"/>
      <c r="V8" s="6"/>
      <c r="W8" s="6"/>
      <c r="X8" s="6"/>
      <c r="Y8" s="6"/>
      <c r="Z8" s="6"/>
      <c r="AA8" s="6"/>
      <c r="AB8" s="6"/>
      <c r="AC8" s="6"/>
      <c r="AD8" s="23"/>
      <c r="AE8" s="9"/>
      <c r="AF8" s="3" t="s">
        <v>19</v>
      </c>
      <c r="AG8" s="9" t="s">
        <v>22</v>
      </c>
      <c r="AI8" s="3"/>
      <c r="AJ8" s="6"/>
      <c r="AK8" s="6"/>
      <c r="AL8" s="6"/>
      <c r="AM8" s="6"/>
      <c r="AN8" s="6"/>
      <c r="AO8" s="6"/>
      <c r="AP8" s="6"/>
      <c r="AQ8" s="6"/>
      <c r="AR8" s="6"/>
      <c r="AT8" s="3"/>
      <c r="AU8" s="3"/>
      <c r="AV8" s="3"/>
      <c r="AW8" s="3"/>
      <c r="AX8" s="3"/>
      <c r="AY8" s="3"/>
      <c r="AZ8" s="3"/>
      <c r="BA8" s="22" t="s">
        <v>56</v>
      </c>
      <c r="BF8" s="119" t="s">
        <v>61</v>
      </c>
      <c r="BG8" s="120"/>
      <c r="BH8" s="119" t="s">
        <v>62</v>
      </c>
      <c r="BI8" s="120"/>
      <c r="BJ8" s="121" t="s">
        <v>63</v>
      </c>
      <c r="BK8" s="28"/>
    </row>
    <row r="9" spans="1:68" s="24" customFormat="1" x14ac:dyDescent="0.25">
      <c r="A9" s="29" t="s">
        <v>33</v>
      </c>
      <c r="B9" s="29" t="s">
        <v>34</v>
      </c>
      <c r="C9" s="29" t="s">
        <v>35</v>
      </c>
      <c r="D9" s="29" t="s">
        <v>36</v>
      </c>
      <c r="E9" s="29" t="s">
        <v>37</v>
      </c>
      <c r="F9" s="30" t="s">
        <v>7</v>
      </c>
      <c r="G9" s="30" t="s">
        <v>8</v>
      </c>
      <c r="H9" s="30" t="s">
        <v>9</v>
      </c>
      <c r="I9" s="30" t="s">
        <v>10</v>
      </c>
      <c r="J9" s="30" t="s">
        <v>11</v>
      </c>
      <c r="K9" s="30" t="s">
        <v>35</v>
      </c>
      <c r="L9" s="31"/>
      <c r="M9" s="30" t="s">
        <v>7</v>
      </c>
      <c r="N9" s="30" t="s">
        <v>8</v>
      </c>
      <c r="O9" s="30" t="s">
        <v>9</v>
      </c>
      <c r="P9" s="30" t="s">
        <v>10</v>
      </c>
      <c r="Q9" s="30" t="s">
        <v>11</v>
      </c>
      <c r="R9" s="30" t="s">
        <v>35</v>
      </c>
      <c r="S9" s="54"/>
      <c r="T9" s="29" t="s">
        <v>38</v>
      </c>
      <c r="U9" s="29" t="s">
        <v>39</v>
      </c>
      <c r="V9" s="29" t="s">
        <v>26</v>
      </c>
      <c r="W9" s="29" t="s">
        <v>69</v>
      </c>
      <c r="X9" s="29" t="s">
        <v>83</v>
      </c>
      <c r="Y9" s="29" t="s">
        <v>84</v>
      </c>
      <c r="Z9" s="29" t="s">
        <v>40</v>
      </c>
      <c r="AA9" s="29" t="s">
        <v>70</v>
      </c>
      <c r="AB9" s="29" t="s">
        <v>47</v>
      </c>
      <c r="AC9" s="32" t="s">
        <v>46</v>
      </c>
      <c r="AD9" s="115"/>
      <c r="AE9" s="29" t="s">
        <v>45</v>
      </c>
      <c r="AF9" s="29" t="s">
        <v>18</v>
      </c>
      <c r="AG9" s="32" t="s">
        <v>24</v>
      </c>
      <c r="AH9" s="31"/>
      <c r="AI9" s="29" t="s">
        <v>38</v>
      </c>
      <c r="AJ9" s="29" t="s">
        <v>39</v>
      </c>
      <c r="AK9" s="29" t="s">
        <v>26</v>
      </c>
      <c r="AL9" s="29" t="s">
        <v>69</v>
      </c>
      <c r="AM9" s="29" t="s">
        <v>83</v>
      </c>
      <c r="AN9" s="29" t="s">
        <v>84</v>
      </c>
      <c r="AO9" s="29" t="s">
        <v>40</v>
      </c>
      <c r="AP9" s="29" t="s">
        <v>71</v>
      </c>
      <c r="AQ9" s="29" t="s">
        <v>47</v>
      </c>
      <c r="AR9" s="32" t="s">
        <v>46</v>
      </c>
      <c r="AS9" s="31"/>
      <c r="AT9" s="30" t="s">
        <v>12</v>
      </c>
      <c r="AU9" s="30" t="s">
        <v>13</v>
      </c>
      <c r="AV9" s="30" t="s">
        <v>14</v>
      </c>
      <c r="AW9" s="30" t="s">
        <v>15</v>
      </c>
      <c r="AX9" s="30" t="s">
        <v>16</v>
      </c>
      <c r="AY9" s="30" t="s">
        <v>42</v>
      </c>
      <c r="AZ9" s="29" t="s">
        <v>19</v>
      </c>
      <c r="BA9" s="32" t="s">
        <v>24</v>
      </c>
      <c r="BB9" s="31"/>
      <c r="BC9" s="486" t="s">
        <v>101</v>
      </c>
      <c r="BD9" s="486" t="s">
        <v>102</v>
      </c>
      <c r="BE9" s="486" t="s">
        <v>103</v>
      </c>
      <c r="BF9" s="122" t="s">
        <v>41</v>
      </c>
      <c r="BG9" s="123"/>
      <c r="BH9" s="124" t="s">
        <v>41</v>
      </c>
      <c r="BI9" s="125"/>
      <c r="BJ9" s="124" t="s">
        <v>41</v>
      </c>
      <c r="BK9" s="36" t="s">
        <v>44</v>
      </c>
      <c r="BL9" s="29"/>
      <c r="BM9" s="29"/>
      <c r="BN9" s="29"/>
      <c r="BO9" s="29"/>
      <c r="BP9" s="29"/>
    </row>
    <row r="10" spans="1:68" s="24" customFormat="1" x14ac:dyDescent="0.25">
      <c r="F10" s="28"/>
      <c r="G10" s="28"/>
      <c r="H10" s="28"/>
      <c r="I10" s="28"/>
      <c r="J10" s="28"/>
      <c r="K10" s="28"/>
      <c r="L10" s="37"/>
      <c r="M10" s="28"/>
      <c r="N10" s="28"/>
      <c r="O10" s="28"/>
      <c r="P10" s="28"/>
      <c r="Q10" s="28"/>
      <c r="R10" s="28"/>
      <c r="S10" s="57"/>
      <c r="AD10" s="116"/>
      <c r="AH10" s="37"/>
      <c r="AS10" s="37"/>
      <c r="AT10" s="28"/>
      <c r="AU10" s="28"/>
      <c r="AV10" s="28"/>
      <c r="AW10" s="28"/>
      <c r="AX10" s="28"/>
      <c r="AY10" s="28"/>
      <c r="BB10" s="37"/>
      <c r="BC10" s="234"/>
      <c r="BD10" s="486"/>
      <c r="BE10" s="486"/>
      <c r="BF10" s="119"/>
      <c r="BG10" s="120"/>
      <c r="BH10" s="121"/>
      <c r="BI10" s="126"/>
      <c r="BJ10" s="121"/>
      <c r="BK10" s="38"/>
    </row>
    <row r="11" spans="1:68" x14ac:dyDescent="0.25">
      <c r="A11" s="286">
        <v>98</v>
      </c>
      <c r="B11" s="315" t="s">
        <v>165</v>
      </c>
      <c r="C11" s="315" t="s">
        <v>168</v>
      </c>
      <c r="D11" s="315" t="s">
        <v>169</v>
      </c>
      <c r="E11" s="315" t="s">
        <v>141</v>
      </c>
      <c r="F11" s="40">
        <v>6.2</v>
      </c>
      <c r="G11" s="40">
        <v>5</v>
      </c>
      <c r="H11" s="40">
        <v>6.5</v>
      </c>
      <c r="I11" s="40">
        <v>6.5</v>
      </c>
      <c r="J11" s="40">
        <v>6.5</v>
      </c>
      <c r="K11" s="43">
        <f t="shared" ref="K11:K20" si="0">SUM((F11*0.1),(G11*0.1),(H11*0.3),(I11*0.3),(J11*0.2))</f>
        <v>6.32</v>
      </c>
      <c r="L11" s="50"/>
      <c r="M11" s="40">
        <v>5.8</v>
      </c>
      <c r="N11" s="40">
        <v>5.5</v>
      </c>
      <c r="O11" s="40">
        <v>6.2</v>
      </c>
      <c r="P11" s="40">
        <v>6.2</v>
      </c>
      <c r="Q11" s="40">
        <v>6.5</v>
      </c>
      <c r="R11" s="43">
        <f t="shared" ref="R11:R20" si="1">SUM((M11*0.1),(N11*0.1),(O11*0.3),(P11*0.3),(Q11*0.2))</f>
        <v>6.1499999999999995</v>
      </c>
      <c r="S11" s="45"/>
      <c r="T11" s="40">
        <v>6</v>
      </c>
      <c r="U11" s="40">
        <v>6.3</v>
      </c>
      <c r="V11" s="40">
        <v>5</v>
      </c>
      <c r="W11" s="40">
        <v>5.7</v>
      </c>
      <c r="X11" s="40">
        <v>5.7</v>
      </c>
      <c r="Y11" s="40">
        <v>4.8</v>
      </c>
      <c r="Z11" s="40">
        <v>5.3</v>
      </c>
      <c r="AA11" s="40">
        <v>5.7</v>
      </c>
      <c r="AB11" s="44">
        <f t="shared" ref="AB11:AB20" si="2">SUM(T11:AA11)</f>
        <v>44.5</v>
      </c>
      <c r="AC11" s="43">
        <f t="shared" ref="AC11:AC20" si="3">AB11/8</f>
        <v>5.5625</v>
      </c>
      <c r="AD11" s="117"/>
      <c r="AE11" s="40">
        <v>8</v>
      </c>
      <c r="AF11" s="41">
        <v>0</v>
      </c>
      <c r="AG11" s="43">
        <f t="shared" ref="AG11:AG20" si="4">AE11-AF11</f>
        <v>8</v>
      </c>
      <c r="AH11" s="45"/>
      <c r="AI11" s="40">
        <v>6</v>
      </c>
      <c r="AJ11" s="40">
        <v>6.5</v>
      </c>
      <c r="AK11" s="40">
        <v>6</v>
      </c>
      <c r="AL11" s="40">
        <v>6.5</v>
      </c>
      <c r="AM11" s="40">
        <v>5</v>
      </c>
      <c r="AN11" s="40">
        <v>5.5</v>
      </c>
      <c r="AO11" s="40">
        <v>7</v>
      </c>
      <c r="AP11" s="40">
        <v>6</v>
      </c>
      <c r="AQ11" s="44">
        <f t="shared" ref="AQ11:AQ20" si="5">SUM(AI11:AP11)</f>
        <v>48.5</v>
      </c>
      <c r="AR11" s="43">
        <f t="shared" ref="AR11:AR20" si="6">AQ11/8</f>
        <v>6.0625</v>
      </c>
      <c r="AS11" s="45"/>
      <c r="AT11" s="40">
        <v>6</v>
      </c>
      <c r="AU11" s="40">
        <v>6</v>
      </c>
      <c r="AV11" s="40">
        <v>6</v>
      </c>
      <c r="AW11" s="40">
        <v>5</v>
      </c>
      <c r="AX11" s="40">
        <v>5.5</v>
      </c>
      <c r="AY11" s="43">
        <f t="shared" ref="AY11:AY20" si="7">SUM((AT11*0.2),(AU11*0.15),(AV11*0.25),(AW11*0.2),(AX11*0.2))</f>
        <v>5.6999999999999993</v>
      </c>
      <c r="AZ11" s="41"/>
      <c r="BA11" s="43">
        <f t="shared" ref="BA11:BA20" si="8">AY11-AZ11</f>
        <v>5.6999999999999993</v>
      </c>
      <c r="BB11" s="45"/>
      <c r="BC11" s="422">
        <f t="shared" ref="BC11:BC20" si="9">(K11+R11)/2</f>
        <v>6.2349999999999994</v>
      </c>
      <c r="BD11" s="422">
        <f t="shared" ref="BD11:BD20" si="10">(AC11+AG11)/2</f>
        <v>6.78125</v>
      </c>
      <c r="BE11" s="422">
        <f t="shared" ref="BE11:BE20" si="11">(AR11+BA11)/2</f>
        <v>5.8812499999999996</v>
      </c>
      <c r="BF11" s="423">
        <f t="shared" ref="BF11:BF20" si="12">SUM((K11*0.25)+(AC11*0.375)+(AR11*0.375))</f>
        <v>5.9393750000000001</v>
      </c>
      <c r="BG11" s="47"/>
      <c r="BH11" s="46">
        <f t="shared" ref="BH11:BH20" si="13">SUM((R11*0.25),(AG11*0.5),(BA11*0.25))</f>
        <v>6.9624999999999995</v>
      </c>
      <c r="BI11" s="112"/>
      <c r="BJ11" s="48">
        <f t="shared" ref="BJ11:BJ20" si="14">AVERAGE(BF11:BH11)</f>
        <v>6.4509375000000002</v>
      </c>
      <c r="BK11" s="61">
        <v>1</v>
      </c>
    </row>
    <row r="12" spans="1:68" x14ac:dyDescent="0.25">
      <c r="A12" s="286">
        <v>103</v>
      </c>
      <c r="B12" s="315" t="s">
        <v>164</v>
      </c>
      <c r="C12" s="315" t="s">
        <v>168</v>
      </c>
      <c r="D12" s="315" t="s">
        <v>169</v>
      </c>
      <c r="E12" s="315" t="s">
        <v>141</v>
      </c>
      <c r="F12" s="40">
        <v>6</v>
      </c>
      <c r="G12" s="40">
        <v>5</v>
      </c>
      <c r="H12" s="40">
        <v>6.5</v>
      </c>
      <c r="I12" s="40">
        <v>6.5</v>
      </c>
      <c r="J12" s="40">
        <v>6.5</v>
      </c>
      <c r="K12" s="43">
        <f t="shared" si="0"/>
        <v>6.3</v>
      </c>
      <c r="L12" s="50"/>
      <c r="M12" s="40">
        <v>5.8</v>
      </c>
      <c r="N12" s="40">
        <v>5.5</v>
      </c>
      <c r="O12" s="40">
        <v>6.2</v>
      </c>
      <c r="P12" s="40">
        <v>6</v>
      </c>
      <c r="Q12" s="40">
        <v>6.5</v>
      </c>
      <c r="R12" s="43">
        <f t="shared" si="1"/>
        <v>6.089999999999999</v>
      </c>
      <c r="S12" s="45"/>
      <c r="T12" s="40">
        <v>6</v>
      </c>
      <c r="U12" s="40">
        <v>6.2</v>
      </c>
      <c r="V12" s="40">
        <v>5.2</v>
      </c>
      <c r="W12" s="40">
        <v>5.5</v>
      </c>
      <c r="X12" s="40">
        <v>5</v>
      </c>
      <c r="Y12" s="40">
        <v>4.7</v>
      </c>
      <c r="Z12" s="40">
        <v>6.5</v>
      </c>
      <c r="AA12" s="40">
        <v>5.5</v>
      </c>
      <c r="AB12" s="44">
        <f t="shared" si="2"/>
        <v>44.6</v>
      </c>
      <c r="AC12" s="43">
        <f t="shared" si="3"/>
        <v>5.5750000000000002</v>
      </c>
      <c r="AD12" s="117"/>
      <c r="AE12" s="40">
        <v>7.6</v>
      </c>
      <c r="AF12" s="41">
        <v>0</v>
      </c>
      <c r="AG12" s="43">
        <f t="shared" si="4"/>
        <v>7.6</v>
      </c>
      <c r="AH12" s="45"/>
      <c r="AI12" s="40">
        <v>4.5</v>
      </c>
      <c r="AJ12" s="40">
        <v>6.5</v>
      </c>
      <c r="AK12" s="40">
        <v>6</v>
      </c>
      <c r="AL12" s="40">
        <v>6</v>
      </c>
      <c r="AM12" s="40">
        <v>7</v>
      </c>
      <c r="AN12" s="40">
        <v>7</v>
      </c>
      <c r="AO12" s="40">
        <v>6.5</v>
      </c>
      <c r="AP12" s="40">
        <v>6.5</v>
      </c>
      <c r="AQ12" s="44">
        <f t="shared" si="5"/>
        <v>50</v>
      </c>
      <c r="AR12" s="43">
        <f t="shared" si="6"/>
        <v>6.25</v>
      </c>
      <c r="AS12" s="45"/>
      <c r="AT12" s="40">
        <v>5.5</v>
      </c>
      <c r="AU12" s="40">
        <v>5</v>
      </c>
      <c r="AV12" s="40">
        <v>5.5</v>
      </c>
      <c r="AW12" s="40">
        <v>5</v>
      </c>
      <c r="AX12" s="40">
        <v>5.5</v>
      </c>
      <c r="AY12" s="43">
        <f t="shared" si="7"/>
        <v>5.3249999999999993</v>
      </c>
      <c r="AZ12" s="41"/>
      <c r="BA12" s="43">
        <f t="shared" si="8"/>
        <v>5.3249999999999993</v>
      </c>
      <c r="BB12" s="45"/>
      <c r="BC12" s="422">
        <f t="shared" si="9"/>
        <v>6.1949999999999994</v>
      </c>
      <c r="BD12" s="422">
        <f t="shared" si="10"/>
        <v>6.5875000000000004</v>
      </c>
      <c r="BE12" s="422">
        <f t="shared" si="11"/>
        <v>5.7874999999999996</v>
      </c>
      <c r="BF12" s="423">
        <f t="shared" si="12"/>
        <v>6.0093750000000004</v>
      </c>
      <c r="BG12" s="47"/>
      <c r="BH12" s="46">
        <f t="shared" si="13"/>
        <v>6.6537499999999996</v>
      </c>
      <c r="BI12" s="112"/>
      <c r="BJ12" s="48">
        <f t="shared" si="14"/>
        <v>6.3315625000000004</v>
      </c>
      <c r="BK12" s="61">
        <v>2</v>
      </c>
    </row>
    <row r="13" spans="1:68" x14ac:dyDescent="0.25">
      <c r="A13" s="286">
        <v>100</v>
      </c>
      <c r="B13" s="315" t="s">
        <v>163</v>
      </c>
      <c r="C13" s="315" t="s">
        <v>168</v>
      </c>
      <c r="D13" s="315" t="s">
        <v>169</v>
      </c>
      <c r="E13" s="315" t="s">
        <v>141</v>
      </c>
      <c r="F13" s="40">
        <v>6</v>
      </c>
      <c r="G13" s="40">
        <v>5.5</v>
      </c>
      <c r="H13" s="40">
        <v>7</v>
      </c>
      <c r="I13" s="40">
        <v>6.2</v>
      </c>
      <c r="J13" s="40">
        <v>6.5</v>
      </c>
      <c r="K13" s="43">
        <f t="shared" si="0"/>
        <v>6.4099999999999993</v>
      </c>
      <c r="L13" s="50"/>
      <c r="M13" s="40">
        <v>5.5</v>
      </c>
      <c r="N13" s="40">
        <v>5</v>
      </c>
      <c r="O13" s="40">
        <v>6</v>
      </c>
      <c r="P13" s="40">
        <v>6</v>
      </c>
      <c r="Q13" s="40">
        <v>6.5</v>
      </c>
      <c r="R13" s="43">
        <f t="shared" si="1"/>
        <v>5.9499999999999993</v>
      </c>
      <c r="S13" s="45"/>
      <c r="T13" s="40">
        <v>4.7</v>
      </c>
      <c r="U13" s="40">
        <v>5.7</v>
      </c>
      <c r="V13" s="40">
        <v>6</v>
      </c>
      <c r="W13" s="40">
        <v>6.5</v>
      </c>
      <c r="X13" s="40">
        <v>6</v>
      </c>
      <c r="Y13" s="40">
        <v>6</v>
      </c>
      <c r="Z13" s="40">
        <v>5</v>
      </c>
      <c r="AA13" s="40">
        <v>5.5</v>
      </c>
      <c r="AB13" s="44">
        <f t="shared" si="2"/>
        <v>45.4</v>
      </c>
      <c r="AC13" s="43">
        <f t="shared" si="3"/>
        <v>5.6749999999999998</v>
      </c>
      <c r="AD13" s="117"/>
      <c r="AE13" s="40">
        <v>6.4</v>
      </c>
      <c r="AF13" s="41">
        <v>1</v>
      </c>
      <c r="AG13" s="43">
        <f t="shared" si="4"/>
        <v>5.4</v>
      </c>
      <c r="AH13" s="45"/>
      <c r="AI13" s="40">
        <v>5</v>
      </c>
      <c r="AJ13" s="40">
        <v>6.8</v>
      </c>
      <c r="AK13" s="40">
        <v>7</v>
      </c>
      <c r="AL13" s="40">
        <v>7</v>
      </c>
      <c r="AM13" s="40">
        <v>6</v>
      </c>
      <c r="AN13" s="40">
        <v>6.5</v>
      </c>
      <c r="AO13" s="40">
        <v>6</v>
      </c>
      <c r="AP13" s="40">
        <v>5</v>
      </c>
      <c r="AQ13" s="44">
        <f t="shared" si="5"/>
        <v>49.3</v>
      </c>
      <c r="AR13" s="43">
        <f t="shared" si="6"/>
        <v>6.1624999999999996</v>
      </c>
      <c r="AS13" s="45"/>
      <c r="AT13" s="40">
        <v>6</v>
      </c>
      <c r="AU13" s="40">
        <v>8</v>
      </c>
      <c r="AV13" s="40">
        <v>6</v>
      </c>
      <c r="AW13" s="40">
        <v>6.5</v>
      </c>
      <c r="AX13" s="40">
        <v>7</v>
      </c>
      <c r="AY13" s="43">
        <f t="shared" si="7"/>
        <v>6.6000000000000005</v>
      </c>
      <c r="AZ13" s="41"/>
      <c r="BA13" s="43">
        <f t="shared" si="8"/>
        <v>6.6000000000000005</v>
      </c>
      <c r="BB13" s="45"/>
      <c r="BC13" s="422">
        <f t="shared" si="9"/>
        <v>6.18</v>
      </c>
      <c r="BD13" s="422">
        <f t="shared" si="10"/>
        <v>5.5374999999999996</v>
      </c>
      <c r="BE13" s="422">
        <f t="shared" si="11"/>
        <v>6.3812499999999996</v>
      </c>
      <c r="BF13" s="423">
        <f t="shared" si="12"/>
        <v>6.0415624999999995</v>
      </c>
      <c r="BG13" s="47"/>
      <c r="BH13" s="46">
        <f t="shared" si="13"/>
        <v>5.8375000000000004</v>
      </c>
      <c r="BI13" s="112"/>
      <c r="BJ13" s="48">
        <f t="shared" si="14"/>
        <v>5.9395312499999999</v>
      </c>
      <c r="BK13" s="61">
        <v>3</v>
      </c>
    </row>
    <row r="14" spans="1:68" x14ac:dyDescent="0.25">
      <c r="A14" s="286">
        <v>123</v>
      </c>
      <c r="B14" s="315" t="s">
        <v>205</v>
      </c>
      <c r="C14" s="315" t="s">
        <v>118</v>
      </c>
      <c r="D14" s="315" t="s">
        <v>188</v>
      </c>
      <c r="E14" s="315" t="s">
        <v>120</v>
      </c>
      <c r="F14" s="40">
        <v>6</v>
      </c>
      <c r="G14" s="40">
        <v>6.5</v>
      </c>
      <c r="H14" s="40">
        <v>6.5</v>
      </c>
      <c r="I14" s="40">
        <v>7</v>
      </c>
      <c r="J14" s="40">
        <v>5.5</v>
      </c>
      <c r="K14" s="43">
        <f t="shared" si="0"/>
        <v>6.4</v>
      </c>
      <c r="L14" s="50"/>
      <c r="M14" s="40">
        <v>6.5</v>
      </c>
      <c r="N14" s="40">
        <v>5</v>
      </c>
      <c r="O14" s="40">
        <v>6</v>
      </c>
      <c r="P14" s="40">
        <v>7</v>
      </c>
      <c r="Q14" s="40">
        <v>5.5</v>
      </c>
      <c r="R14" s="43">
        <f t="shared" si="1"/>
        <v>6.15</v>
      </c>
      <c r="S14" s="45"/>
      <c r="T14" s="40">
        <v>4.5</v>
      </c>
      <c r="U14" s="40">
        <v>4.7</v>
      </c>
      <c r="V14" s="40">
        <v>5.5</v>
      </c>
      <c r="W14" s="40">
        <v>5.3</v>
      </c>
      <c r="X14" s="40">
        <v>4</v>
      </c>
      <c r="Y14" s="40">
        <v>3.8</v>
      </c>
      <c r="Z14" s="40">
        <v>5.7</v>
      </c>
      <c r="AA14" s="40">
        <v>4.7</v>
      </c>
      <c r="AB14" s="44">
        <f t="shared" si="2"/>
        <v>38.200000000000003</v>
      </c>
      <c r="AC14" s="43">
        <f t="shared" si="3"/>
        <v>4.7750000000000004</v>
      </c>
      <c r="AD14" s="117"/>
      <c r="AE14" s="40">
        <v>7.2</v>
      </c>
      <c r="AF14" s="41">
        <v>0</v>
      </c>
      <c r="AG14" s="43">
        <f t="shared" si="4"/>
        <v>7.2</v>
      </c>
      <c r="AH14" s="45"/>
      <c r="AI14" s="40">
        <v>4.5</v>
      </c>
      <c r="AJ14" s="40">
        <v>5.5</v>
      </c>
      <c r="AK14" s="40">
        <v>5</v>
      </c>
      <c r="AL14" s="40">
        <v>5</v>
      </c>
      <c r="AM14" s="40">
        <v>5.5</v>
      </c>
      <c r="AN14" s="40">
        <v>5</v>
      </c>
      <c r="AO14" s="40">
        <v>5</v>
      </c>
      <c r="AP14" s="40">
        <v>4.5</v>
      </c>
      <c r="AQ14" s="44">
        <f t="shared" si="5"/>
        <v>40</v>
      </c>
      <c r="AR14" s="43">
        <f t="shared" si="6"/>
        <v>5</v>
      </c>
      <c r="AS14" s="45"/>
      <c r="AT14" s="40">
        <v>5</v>
      </c>
      <c r="AU14" s="40">
        <v>6</v>
      </c>
      <c r="AV14" s="40">
        <v>5.5</v>
      </c>
      <c r="AW14" s="40">
        <v>6</v>
      </c>
      <c r="AX14" s="40">
        <v>5.5</v>
      </c>
      <c r="AY14" s="43">
        <f t="shared" si="7"/>
        <v>5.5749999999999993</v>
      </c>
      <c r="AZ14" s="41"/>
      <c r="BA14" s="43">
        <f t="shared" si="8"/>
        <v>5.5749999999999993</v>
      </c>
      <c r="BB14" s="45"/>
      <c r="BC14" s="422">
        <f t="shared" si="9"/>
        <v>6.2750000000000004</v>
      </c>
      <c r="BD14" s="422">
        <f t="shared" si="10"/>
        <v>5.9875000000000007</v>
      </c>
      <c r="BE14" s="422">
        <f t="shared" si="11"/>
        <v>5.2874999999999996</v>
      </c>
      <c r="BF14" s="423">
        <f t="shared" si="12"/>
        <v>5.265625</v>
      </c>
      <c r="BG14" s="47"/>
      <c r="BH14" s="46">
        <f t="shared" si="13"/>
        <v>6.53125</v>
      </c>
      <c r="BI14" s="112"/>
      <c r="BJ14" s="48">
        <f t="shared" si="14"/>
        <v>5.8984375</v>
      </c>
      <c r="BK14" s="61">
        <v>4</v>
      </c>
    </row>
    <row r="15" spans="1:68" x14ac:dyDescent="0.25">
      <c r="A15" s="286">
        <v>95</v>
      </c>
      <c r="B15" s="315" t="s">
        <v>202</v>
      </c>
      <c r="C15" s="315" t="s">
        <v>203</v>
      </c>
      <c r="D15" s="315" t="s">
        <v>204</v>
      </c>
      <c r="E15" s="315" t="s">
        <v>185</v>
      </c>
      <c r="F15" s="40">
        <v>6.5</v>
      </c>
      <c r="G15" s="40">
        <v>5.5</v>
      </c>
      <c r="H15" s="40">
        <v>6.5</v>
      </c>
      <c r="I15" s="40">
        <v>7</v>
      </c>
      <c r="J15" s="40">
        <v>7</v>
      </c>
      <c r="K15" s="43">
        <f t="shared" si="0"/>
        <v>6.65</v>
      </c>
      <c r="L15" s="50"/>
      <c r="M15" s="40">
        <v>6.2</v>
      </c>
      <c r="N15" s="40">
        <v>5.8</v>
      </c>
      <c r="O15" s="40">
        <v>5.5</v>
      </c>
      <c r="P15" s="40">
        <v>6</v>
      </c>
      <c r="Q15" s="40">
        <v>7</v>
      </c>
      <c r="R15" s="43">
        <f t="shared" si="1"/>
        <v>6.0500000000000007</v>
      </c>
      <c r="S15" s="45"/>
      <c r="T15" s="40">
        <v>5.7</v>
      </c>
      <c r="U15" s="40">
        <v>5.7</v>
      </c>
      <c r="V15" s="40">
        <v>2.5</v>
      </c>
      <c r="W15" s="40">
        <v>5.3</v>
      </c>
      <c r="X15" s="40">
        <v>5.8</v>
      </c>
      <c r="Y15" s="40">
        <v>6</v>
      </c>
      <c r="Z15" s="40">
        <v>6.5</v>
      </c>
      <c r="AA15" s="40">
        <v>5.2</v>
      </c>
      <c r="AB15" s="44">
        <f t="shared" si="2"/>
        <v>42.7</v>
      </c>
      <c r="AC15" s="43">
        <f t="shared" si="3"/>
        <v>5.3375000000000004</v>
      </c>
      <c r="AD15" s="117"/>
      <c r="AE15" s="40">
        <f>10-40/10</f>
        <v>6</v>
      </c>
      <c r="AF15" s="41">
        <v>0</v>
      </c>
      <c r="AG15" s="43">
        <f t="shared" si="4"/>
        <v>6</v>
      </c>
      <c r="AH15" s="45"/>
      <c r="AI15" s="40">
        <v>5.5</v>
      </c>
      <c r="AJ15" s="40">
        <v>6</v>
      </c>
      <c r="AK15" s="40">
        <v>6</v>
      </c>
      <c r="AL15" s="40">
        <v>6.5</v>
      </c>
      <c r="AM15" s="40">
        <v>6.5</v>
      </c>
      <c r="AN15" s="40">
        <v>7</v>
      </c>
      <c r="AO15" s="40">
        <v>7</v>
      </c>
      <c r="AP15" s="40">
        <v>6.5</v>
      </c>
      <c r="AQ15" s="44">
        <f t="shared" si="5"/>
        <v>51</v>
      </c>
      <c r="AR15" s="43">
        <f t="shared" si="6"/>
        <v>6.375</v>
      </c>
      <c r="AS15" s="45"/>
      <c r="AT15" s="40">
        <v>3</v>
      </c>
      <c r="AU15" s="40">
        <v>4</v>
      </c>
      <c r="AV15" s="40">
        <v>5.5</v>
      </c>
      <c r="AW15" s="40">
        <v>4</v>
      </c>
      <c r="AX15" s="40">
        <v>5.5</v>
      </c>
      <c r="AY15" s="43">
        <f t="shared" si="7"/>
        <v>4.4749999999999996</v>
      </c>
      <c r="AZ15" s="41">
        <v>0</v>
      </c>
      <c r="BA15" s="43">
        <f t="shared" si="8"/>
        <v>4.4749999999999996</v>
      </c>
      <c r="BB15" s="45"/>
      <c r="BC15" s="422">
        <f t="shared" si="9"/>
        <v>6.3500000000000005</v>
      </c>
      <c r="BD15" s="422">
        <f t="shared" si="10"/>
        <v>5.6687500000000002</v>
      </c>
      <c r="BE15" s="422">
        <f t="shared" si="11"/>
        <v>5.4249999999999998</v>
      </c>
      <c r="BF15" s="423">
        <f t="shared" si="12"/>
        <v>6.0546875</v>
      </c>
      <c r="BG15" s="47"/>
      <c r="BH15" s="46">
        <f t="shared" si="13"/>
        <v>5.6312499999999996</v>
      </c>
      <c r="BI15" s="112"/>
      <c r="BJ15" s="48">
        <f t="shared" si="14"/>
        <v>5.8429687499999998</v>
      </c>
      <c r="BK15" s="61">
        <f>RANK(BJ15,BJ$12:BJ$20)</f>
        <v>5</v>
      </c>
    </row>
    <row r="16" spans="1:68" x14ac:dyDescent="0.25">
      <c r="A16" s="286">
        <v>114</v>
      </c>
      <c r="B16" s="315" t="s">
        <v>173</v>
      </c>
      <c r="C16" s="285" t="s">
        <v>175</v>
      </c>
      <c r="D16" s="424" t="s">
        <v>176</v>
      </c>
      <c r="E16" s="316" t="s">
        <v>123</v>
      </c>
      <c r="F16" s="40">
        <v>6.5</v>
      </c>
      <c r="G16" s="40">
        <v>7</v>
      </c>
      <c r="H16" s="40">
        <v>6.5</v>
      </c>
      <c r="I16" s="40">
        <v>6.5</v>
      </c>
      <c r="J16" s="40">
        <v>7</v>
      </c>
      <c r="K16" s="43">
        <f t="shared" si="0"/>
        <v>6.65</v>
      </c>
      <c r="L16" s="50"/>
      <c r="M16" s="40">
        <v>6.5</v>
      </c>
      <c r="N16" s="40">
        <v>6.2</v>
      </c>
      <c r="O16" s="40">
        <v>6</v>
      </c>
      <c r="P16" s="40">
        <v>6.5</v>
      </c>
      <c r="Q16" s="40">
        <v>7</v>
      </c>
      <c r="R16" s="43">
        <f t="shared" si="1"/>
        <v>6.42</v>
      </c>
      <c r="S16" s="45"/>
      <c r="T16" s="40">
        <v>4.7</v>
      </c>
      <c r="U16" s="40">
        <v>5.6</v>
      </c>
      <c r="V16" s="40">
        <v>6</v>
      </c>
      <c r="W16" s="40">
        <v>5.3</v>
      </c>
      <c r="X16" s="40">
        <v>4.8</v>
      </c>
      <c r="Y16" s="40">
        <v>4.5999999999999996</v>
      </c>
      <c r="Z16" s="40">
        <v>6.5</v>
      </c>
      <c r="AA16" s="40">
        <v>5.2</v>
      </c>
      <c r="AB16" s="44">
        <f t="shared" si="2"/>
        <v>42.7</v>
      </c>
      <c r="AC16" s="43">
        <f t="shared" si="3"/>
        <v>5.3375000000000004</v>
      </c>
      <c r="AD16" s="117"/>
      <c r="AE16" s="40">
        <f>10-44/10</f>
        <v>5.6</v>
      </c>
      <c r="AF16" s="41">
        <v>0</v>
      </c>
      <c r="AG16" s="43">
        <f t="shared" si="4"/>
        <v>5.6</v>
      </c>
      <c r="AH16" s="45"/>
      <c r="AI16" s="40">
        <v>4</v>
      </c>
      <c r="AJ16" s="40">
        <v>5.5</v>
      </c>
      <c r="AK16" s="40">
        <v>5.5</v>
      </c>
      <c r="AL16" s="40">
        <v>6</v>
      </c>
      <c r="AM16" s="40">
        <v>6.5</v>
      </c>
      <c r="AN16" s="40">
        <v>6</v>
      </c>
      <c r="AO16" s="40">
        <v>5</v>
      </c>
      <c r="AP16" s="40">
        <v>5.5</v>
      </c>
      <c r="AQ16" s="44">
        <f t="shared" si="5"/>
        <v>44</v>
      </c>
      <c r="AR16" s="43">
        <f t="shared" si="6"/>
        <v>5.5</v>
      </c>
      <c r="AS16" s="45"/>
      <c r="AT16" s="40">
        <v>4.5</v>
      </c>
      <c r="AU16" s="40">
        <v>5</v>
      </c>
      <c r="AV16" s="40">
        <v>5</v>
      </c>
      <c r="AW16" s="40">
        <v>4.5</v>
      </c>
      <c r="AX16" s="40">
        <v>6</v>
      </c>
      <c r="AY16" s="43">
        <f t="shared" si="7"/>
        <v>5</v>
      </c>
      <c r="AZ16" s="41">
        <v>0</v>
      </c>
      <c r="BA16" s="43">
        <f t="shared" si="8"/>
        <v>5</v>
      </c>
      <c r="BB16" s="45"/>
      <c r="BC16" s="422">
        <f t="shared" si="9"/>
        <v>6.5350000000000001</v>
      </c>
      <c r="BD16" s="422">
        <f t="shared" si="10"/>
        <v>5.46875</v>
      </c>
      <c r="BE16" s="422">
        <f t="shared" si="11"/>
        <v>5.25</v>
      </c>
      <c r="BF16" s="423">
        <f t="shared" si="12"/>
        <v>5.7265625</v>
      </c>
      <c r="BG16" s="47"/>
      <c r="BH16" s="46">
        <f t="shared" si="13"/>
        <v>5.6549999999999994</v>
      </c>
      <c r="BI16" s="112"/>
      <c r="BJ16" s="48">
        <f t="shared" si="14"/>
        <v>5.6907812499999997</v>
      </c>
      <c r="BK16" s="61">
        <f>RANK(BJ16,BJ$12:BJ$20)</f>
        <v>6</v>
      </c>
    </row>
    <row r="17" spans="1:63" x14ac:dyDescent="0.25">
      <c r="A17" s="286">
        <v>117</v>
      </c>
      <c r="B17" s="315" t="s">
        <v>207</v>
      </c>
      <c r="C17" s="315" t="s">
        <v>118</v>
      </c>
      <c r="D17" s="315" t="s">
        <v>188</v>
      </c>
      <c r="E17" s="315" t="s">
        <v>120</v>
      </c>
      <c r="F17" s="40">
        <v>6</v>
      </c>
      <c r="G17" s="40">
        <v>5</v>
      </c>
      <c r="H17" s="40">
        <v>7</v>
      </c>
      <c r="I17" s="40">
        <v>7</v>
      </c>
      <c r="J17" s="40">
        <v>5.5</v>
      </c>
      <c r="K17" s="43">
        <f t="shared" si="0"/>
        <v>6.4</v>
      </c>
      <c r="L17" s="50"/>
      <c r="M17" s="40">
        <v>6</v>
      </c>
      <c r="N17" s="40">
        <v>5.8</v>
      </c>
      <c r="O17" s="40">
        <v>7</v>
      </c>
      <c r="P17" s="40">
        <v>7.2</v>
      </c>
      <c r="Q17" s="40">
        <v>5.5</v>
      </c>
      <c r="R17" s="43">
        <f t="shared" si="1"/>
        <v>6.5400000000000009</v>
      </c>
      <c r="S17" s="45"/>
      <c r="T17" s="40">
        <v>4</v>
      </c>
      <c r="U17" s="40">
        <v>4.2</v>
      </c>
      <c r="V17" s="40">
        <v>3</v>
      </c>
      <c r="W17" s="40">
        <v>4.5</v>
      </c>
      <c r="X17" s="40">
        <v>3.2</v>
      </c>
      <c r="Y17" s="40">
        <v>3.5</v>
      </c>
      <c r="Z17" s="40">
        <v>4.8</v>
      </c>
      <c r="AA17" s="40">
        <v>4.2</v>
      </c>
      <c r="AB17" s="44">
        <f t="shared" si="2"/>
        <v>31.4</v>
      </c>
      <c r="AC17" s="43">
        <f t="shared" si="3"/>
        <v>3.9249999999999998</v>
      </c>
      <c r="AD17" s="117"/>
      <c r="AE17" s="40">
        <v>7.5</v>
      </c>
      <c r="AF17" s="41">
        <v>0</v>
      </c>
      <c r="AG17" s="43">
        <f t="shared" si="4"/>
        <v>7.5</v>
      </c>
      <c r="AH17" s="45"/>
      <c r="AI17" s="40">
        <v>4</v>
      </c>
      <c r="AJ17" s="40">
        <v>3.5</v>
      </c>
      <c r="AK17" s="40">
        <v>4</v>
      </c>
      <c r="AL17" s="40">
        <v>4.5</v>
      </c>
      <c r="AM17" s="40">
        <v>4.5</v>
      </c>
      <c r="AN17" s="40">
        <v>4</v>
      </c>
      <c r="AO17" s="40">
        <v>5</v>
      </c>
      <c r="AP17" s="40">
        <v>4</v>
      </c>
      <c r="AQ17" s="44">
        <f t="shared" si="5"/>
        <v>33.5</v>
      </c>
      <c r="AR17" s="43">
        <f t="shared" si="6"/>
        <v>4.1875</v>
      </c>
      <c r="AS17" s="45"/>
      <c r="AT17" s="40">
        <v>3</v>
      </c>
      <c r="AU17" s="40">
        <v>5</v>
      </c>
      <c r="AV17" s="40">
        <v>4</v>
      </c>
      <c r="AW17" s="40">
        <v>4</v>
      </c>
      <c r="AX17" s="40">
        <v>4.5</v>
      </c>
      <c r="AY17" s="43">
        <f t="shared" si="7"/>
        <v>4.0500000000000007</v>
      </c>
      <c r="AZ17" s="41"/>
      <c r="BA17" s="43">
        <f t="shared" si="8"/>
        <v>4.0500000000000007</v>
      </c>
      <c r="BB17" s="45"/>
      <c r="BC17" s="422">
        <f t="shared" si="9"/>
        <v>6.4700000000000006</v>
      </c>
      <c r="BD17" s="422">
        <f t="shared" si="10"/>
        <v>5.7125000000000004</v>
      </c>
      <c r="BE17" s="422">
        <f t="shared" si="11"/>
        <v>4.1187500000000004</v>
      </c>
      <c r="BF17" s="423">
        <f t="shared" si="12"/>
        <v>4.6421875000000004</v>
      </c>
      <c r="BG17" s="47"/>
      <c r="BH17" s="46">
        <f t="shared" si="13"/>
        <v>6.3975</v>
      </c>
      <c r="BI17" s="112"/>
      <c r="BJ17" s="48">
        <f t="shared" si="14"/>
        <v>5.5198437499999997</v>
      </c>
      <c r="BK17" s="61"/>
    </row>
    <row r="18" spans="1:63" x14ac:dyDescent="0.25">
      <c r="A18" s="286">
        <v>158</v>
      </c>
      <c r="B18" s="315" t="s">
        <v>170</v>
      </c>
      <c r="C18" s="315" t="s">
        <v>175</v>
      </c>
      <c r="D18" s="315" t="s">
        <v>176</v>
      </c>
      <c r="E18" s="315" t="s">
        <v>177</v>
      </c>
      <c r="F18" s="40">
        <v>7</v>
      </c>
      <c r="G18" s="40">
        <v>6.5</v>
      </c>
      <c r="H18" s="40">
        <v>8</v>
      </c>
      <c r="I18" s="40">
        <v>7</v>
      </c>
      <c r="J18" s="40">
        <v>7</v>
      </c>
      <c r="K18" s="43">
        <f t="shared" si="0"/>
        <v>7.25</v>
      </c>
      <c r="L18" s="50"/>
      <c r="M18" s="40">
        <v>6.5</v>
      </c>
      <c r="N18" s="40">
        <v>6.5</v>
      </c>
      <c r="O18" s="40">
        <v>7</v>
      </c>
      <c r="P18" s="40">
        <v>6.2</v>
      </c>
      <c r="Q18" s="40">
        <v>7</v>
      </c>
      <c r="R18" s="43">
        <f t="shared" si="1"/>
        <v>6.66</v>
      </c>
      <c r="S18" s="45"/>
      <c r="T18" s="40">
        <v>5.5</v>
      </c>
      <c r="U18" s="40">
        <v>5</v>
      </c>
      <c r="V18" s="40">
        <v>5.5</v>
      </c>
      <c r="W18" s="40">
        <v>5.3</v>
      </c>
      <c r="X18" s="40">
        <v>4.7</v>
      </c>
      <c r="Y18" s="40">
        <v>5</v>
      </c>
      <c r="Z18" s="40">
        <v>5</v>
      </c>
      <c r="AA18" s="40">
        <v>4.7</v>
      </c>
      <c r="AB18" s="44">
        <f t="shared" si="2"/>
        <v>40.700000000000003</v>
      </c>
      <c r="AC18" s="43">
        <f t="shared" si="3"/>
        <v>5.0875000000000004</v>
      </c>
      <c r="AD18" s="117"/>
      <c r="AE18" s="40">
        <v>5</v>
      </c>
      <c r="AF18" s="41">
        <v>0</v>
      </c>
      <c r="AG18" s="43">
        <f t="shared" si="4"/>
        <v>5</v>
      </c>
      <c r="AH18" s="45"/>
      <c r="AI18" s="40">
        <v>5.5</v>
      </c>
      <c r="AJ18" s="40">
        <v>4.5</v>
      </c>
      <c r="AK18" s="40">
        <v>4</v>
      </c>
      <c r="AL18" s="40">
        <v>5.5</v>
      </c>
      <c r="AM18" s="40">
        <v>4</v>
      </c>
      <c r="AN18" s="40">
        <v>4</v>
      </c>
      <c r="AO18" s="40">
        <v>5.5</v>
      </c>
      <c r="AP18" s="40">
        <v>5</v>
      </c>
      <c r="AQ18" s="44">
        <f t="shared" si="5"/>
        <v>38</v>
      </c>
      <c r="AR18" s="43">
        <f t="shared" si="6"/>
        <v>4.75</v>
      </c>
      <c r="AS18" s="45"/>
      <c r="AT18" s="40">
        <v>4.5</v>
      </c>
      <c r="AU18" s="40">
        <v>4.5</v>
      </c>
      <c r="AV18" s="40">
        <v>5</v>
      </c>
      <c r="AW18" s="40">
        <v>5</v>
      </c>
      <c r="AX18" s="40">
        <v>4</v>
      </c>
      <c r="AY18" s="43">
        <f t="shared" si="7"/>
        <v>4.625</v>
      </c>
      <c r="AZ18" s="41">
        <v>0</v>
      </c>
      <c r="BA18" s="43">
        <f t="shared" si="8"/>
        <v>4.625</v>
      </c>
      <c r="BB18" s="45"/>
      <c r="BC18" s="422">
        <f t="shared" si="9"/>
        <v>6.9550000000000001</v>
      </c>
      <c r="BD18" s="422">
        <f t="shared" si="10"/>
        <v>5.0437500000000002</v>
      </c>
      <c r="BE18" s="422">
        <f t="shared" si="11"/>
        <v>4.6875</v>
      </c>
      <c r="BF18" s="423">
        <f t="shared" si="12"/>
        <v>5.5015625000000004</v>
      </c>
      <c r="BG18" s="47"/>
      <c r="BH18" s="46">
        <f t="shared" si="13"/>
        <v>5.32125</v>
      </c>
      <c r="BI18" s="112"/>
      <c r="BJ18" s="48">
        <f t="shared" si="14"/>
        <v>5.4114062500000006</v>
      </c>
      <c r="BK18" s="61"/>
    </row>
    <row r="19" spans="1:63" x14ac:dyDescent="0.25">
      <c r="A19" s="286">
        <v>125</v>
      </c>
      <c r="B19" s="315" t="s">
        <v>206</v>
      </c>
      <c r="C19" s="315" t="s">
        <v>118</v>
      </c>
      <c r="D19" s="315" t="s">
        <v>188</v>
      </c>
      <c r="E19" s="315" t="s">
        <v>120</v>
      </c>
      <c r="F19" s="40">
        <v>5.5</v>
      </c>
      <c r="G19" s="40">
        <v>6.2</v>
      </c>
      <c r="H19" s="40">
        <v>6.5</v>
      </c>
      <c r="I19" s="40">
        <v>7</v>
      </c>
      <c r="J19" s="40">
        <v>5.5</v>
      </c>
      <c r="K19" s="43">
        <f t="shared" si="0"/>
        <v>6.32</v>
      </c>
      <c r="L19" s="50"/>
      <c r="M19" s="40">
        <v>6.2</v>
      </c>
      <c r="N19" s="40">
        <v>5</v>
      </c>
      <c r="O19" s="40">
        <v>6.5</v>
      </c>
      <c r="P19" s="40">
        <v>7.2</v>
      </c>
      <c r="Q19" s="40">
        <v>5.5</v>
      </c>
      <c r="R19" s="43">
        <f t="shared" si="1"/>
        <v>6.33</v>
      </c>
      <c r="S19" s="45"/>
      <c r="T19" s="40">
        <v>3</v>
      </c>
      <c r="U19" s="40">
        <v>3</v>
      </c>
      <c r="V19" s="40">
        <v>3</v>
      </c>
      <c r="W19" s="40">
        <v>3</v>
      </c>
      <c r="X19" s="40">
        <v>3</v>
      </c>
      <c r="Y19" s="40">
        <v>3</v>
      </c>
      <c r="Z19" s="40">
        <v>4.5</v>
      </c>
      <c r="AA19" s="40">
        <v>4</v>
      </c>
      <c r="AB19" s="44">
        <f t="shared" si="2"/>
        <v>26.5</v>
      </c>
      <c r="AC19" s="43">
        <f t="shared" si="3"/>
        <v>3.3125</v>
      </c>
      <c r="AD19" s="117"/>
      <c r="AE19" s="40">
        <v>6.5</v>
      </c>
      <c r="AF19" s="41">
        <v>0</v>
      </c>
      <c r="AG19" s="43">
        <f t="shared" si="4"/>
        <v>6.5</v>
      </c>
      <c r="AH19" s="45"/>
      <c r="AI19" s="40">
        <v>3</v>
      </c>
      <c r="AJ19" s="40">
        <v>3.5</v>
      </c>
      <c r="AK19" s="40">
        <v>5</v>
      </c>
      <c r="AL19" s="40">
        <v>4</v>
      </c>
      <c r="AM19" s="40">
        <v>4</v>
      </c>
      <c r="AN19" s="40">
        <v>4.2</v>
      </c>
      <c r="AO19" s="40">
        <v>4.5</v>
      </c>
      <c r="AP19" s="40">
        <v>4</v>
      </c>
      <c r="AQ19" s="44">
        <f t="shared" si="5"/>
        <v>32.200000000000003</v>
      </c>
      <c r="AR19" s="43">
        <f t="shared" si="6"/>
        <v>4.0250000000000004</v>
      </c>
      <c r="AS19" s="45"/>
      <c r="AT19" s="40">
        <v>6</v>
      </c>
      <c r="AU19" s="40">
        <v>6</v>
      </c>
      <c r="AV19" s="40">
        <v>5</v>
      </c>
      <c r="AW19" s="40">
        <v>5</v>
      </c>
      <c r="AX19" s="40">
        <v>5</v>
      </c>
      <c r="AY19" s="43">
        <f t="shared" si="7"/>
        <v>5.35</v>
      </c>
      <c r="AZ19" s="41"/>
      <c r="BA19" s="43">
        <f t="shared" si="8"/>
        <v>5.35</v>
      </c>
      <c r="BB19" s="45"/>
      <c r="BC19" s="422">
        <f t="shared" si="9"/>
        <v>6.3250000000000002</v>
      </c>
      <c r="BD19" s="422">
        <f t="shared" si="10"/>
        <v>4.90625</v>
      </c>
      <c r="BE19" s="422">
        <f t="shared" si="11"/>
        <v>4.6875</v>
      </c>
      <c r="BF19" s="423">
        <f t="shared" si="12"/>
        <v>4.3315625000000004</v>
      </c>
      <c r="BG19" s="47"/>
      <c r="BH19" s="46">
        <f t="shared" si="13"/>
        <v>6.17</v>
      </c>
      <c r="BI19" s="112"/>
      <c r="BJ19" s="48">
        <f t="shared" si="14"/>
        <v>5.2507812500000002</v>
      </c>
      <c r="BK19" s="61"/>
    </row>
    <row r="20" spans="1:63" x14ac:dyDescent="0.25">
      <c r="A20" s="286">
        <v>97</v>
      </c>
      <c r="B20" s="315" t="s">
        <v>208</v>
      </c>
      <c r="C20" s="315" t="s">
        <v>183</v>
      </c>
      <c r="D20" s="315" t="s">
        <v>184</v>
      </c>
      <c r="E20" s="315" t="s">
        <v>185</v>
      </c>
      <c r="F20" s="40">
        <v>6.5</v>
      </c>
      <c r="G20" s="40">
        <v>5.5</v>
      </c>
      <c r="H20" s="40">
        <v>7.5</v>
      </c>
      <c r="I20" s="40">
        <v>7</v>
      </c>
      <c r="J20" s="40">
        <v>7</v>
      </c>
      <c r="K20" s="43">
        <f t="shared" si="0"/>
        <v>6.9500000000000011</v>
      </c>
      <c r="L20" s="50"/>
      <c r="M20" s="40">
        <v>6</v>
      </c>
      <c r="N20" s="40">
        <v>5.5</v>
      </c>
      <c r="O20" s="40">
        <v>7</v>
      </c>
      <c r="P20" s="40">
        <v>6</v>
      </c>
      <c r="Q20" s="40">
        <v>7</v>
      </c>
      <c r="R20" s="43">
        <f t="shared" si="1"/>
        <v>6.45</v>
      </c>
      <c r="S20" s="45"/>
      <c r="T20" s="40">
        <v>5.3</v>
      </c>
      <c r="U20" s="40">
        <v>6</v>
      </c>
      <c r="V20" s="40">
        <v>5.7</v>
      </c>
      <c r="W20" s="40">
        <v>6.2</v>
      </c>
      <c r="X20" s="40">
        <v>5.2</v>
      </c>
      <c r="Y20" s="40">
        <v>5</v>
      </c>
      <c r="Z20" s="40">
        <v>6.5</v>
      </c>
      <c r="AA20" s="40">
        <v>5.3</v>
      </c>
      <c r="AB20" s="44">
        <f t="shared" si="2"/>
        <v>45.199999999999996</v>
      </c>
      <c r="AC20" s="43">
        <f t="shared" si="3"/>
        <v>5.6499999999999995</v>
      </c>
      <c r="AD20" s="117"/>
      <c r="AE20" s="40">
        <f>10-34/10</f>
        <v>6.6</v>
      </c>
      <c r="AF20" s="41">
        <v>0</v>
      </c>
      <c r="AG20" s="43">
        <f t="shared" si="4"/>
        <v>6.6</v>
      </c>
      <c r="AH20" s="45"/>
      <c r="AI20" s="40">
        <v>4.8</v>
      </c>
      <c r="AJ20" s="40">
        <v>7</v>
      </c>
      <c r="AK20" s="40">
        <v>7.5</v>
      </c>
      <c r="AL20" s="40">
        <v>6</v>
      </c>
      <c r="AM20" s="40">
        <v>7</v>
      </c>
      <c r="AN20" s="40">
        <v>7</v>
      </c>
      <c r="AO20" s="40">
        <v>7</v>
      </c>
      <c r="AP20" s="40">
        <v>6</v>
      </c>
      <c r="AQ20" s="44">
        <f t="shared" si="5"/>
        <v>52.3</v>
      </c>
      <c r="AR20" s="43">
        <f t="shared" si="6"/>
        <v>6.5374999999999996</v>
      </c>
      <c r="AS20" s="45"/>
      <c r="AT20" s="40">
        <v>3</v>
      </c>
      <c r="AU20" s="40">
        <v>7</v>
      </c>
      <c r="AV20" s="40">
        <v>5</v>
      </c>
      <c r="AW20" s="40">
        <v>4</v>
      </c>
      <c r="AX20" s="40">
        <v>4.5</v>
      </c>
      <c r="AY20" s="43">
        <f t="shared" si="7"/>
        <v>4.6000000000000005</v>
      </c>
      <c r="AZ20" s="41">
        <v>0</v>
      </c>
      <c r="BA20" s="43">
        <f t="shared" si="8"/>
        <v>4.6000000000000005</v>
      </c>
      <c r="BB20" s="45"/>
      <c r="BC20" s="422">
        <f t="shared" si="9"/>
        <v>6.7000000000000011</v>
      </c>
      <c r="BD20" s="422">
        <f t="shared" si="10"/>
        <v>6.125</v>
      </c>
      <c r="BE20" s="422">
        <f t="shared" si="11"/>
        <v>5.5687499999999996</v>
      </c>
      <c r="BF20" s="423">
        <f t="shared" si="12"/>
        <v>6.3078124999999998</v>
      </c>
      <c r="BG20" s="47"/>
      <c r="BH20" s="46">
        <f t="shared" si="13"/>
        <v>6.0625</v>
      </c>
      <c r="BI20" s="112"/>
      <c r="BJ20" s="48">
        <f t="shared" si="14"/>
        <v>6.1851562500000004</v>
      </c>
      <c r="BK20" s="61" t="s">
        <v>267</v>
      </c>
    </row>
  </sheetData>
  <sortState ref="A11:BP20">
    <sortCondition ref="BK11:BK20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36</vt:i4>
      </vt:variant>
    </vt:vector>
  </HeadingPairs>
  <TitlesOfParts>
    <vt:vector size="57" baseType="lpstr">
      <vt:lpstr>CompDetail</vt:lpstr>
      <vt:lpstr>AWARDS</vt:lpstr>
      <vt:lpstr>IND Open</vt:lpstr>
      <vt:lpstr>IND Adv</vt:lpstr>
      <vt:lpstr>IND Int</vt:lpstr>
      <vt:lpstr>IND Nov</vt:lpstr>
      <vt:lpstr>IND PreNov</vt:lpstr>
      <vt:lpstr> IND Prelim A</vt:lpstr>
      <vt:lpstr>IND Prelim B</vt:lpstr>
      <vt:lpstr>IND Prelim C</vt:lpstr>
      <vt:lpstr>PDD Walk A</vt:lpstr>
      <vt:lpstr>PDD Walk B</vt:lpstr>
      <vt:lpstr>SQ Nov Comp</vt:lpstr>
      <vt:lpstr>SQ Nov Free</vt:lpstr>
      <vt:lpstr>SQ Prelim Comp</vt:lpstr>
      <vt:lpstr>Lungers Walk</vt:lpstr>
      <vt:lpstr>Lungers Canter</vt:lpstr>
      <vt:lpstr>Barrel PDD A</vt:lpstr>
      <vt:lpstr>Barrel PDD B 23A </vt:lpstr>
      <vt:lpstr>Barrel PDD B 23B</vt:lpstr>
      <vt:lpstr>Barrel SQUAD</vt:lpstr>
      <vt:lpstr>' IND Prelim A'!Print_Area</vt:lpstr>
      <vt:lpstr>'Barrel PDD A'!Print_Area</vt:lpstr>
      <vt:lpstr>'Barrel PDD B 23A '!Print_Area</vt:lpstr>
      <vt:lpstr>'Barrel PDD B 23B'!Print_Area</vt:lpstr>
      <vt:lpstr>'Barrel SQUAD'!Print_Area</vt:lpstr>
      <vt:lpstr>'IND Adv'!Print_Area</vt:lpstr>
      <vt:lpstr>'IND Int'!Print_Area</vt:lpstr>
      <vt:lpstr>'IND Nov'!Print_Area</vt:lpstr>
      <vt:lpstr>'IND Open'!Print_Area</vt:lpstr>
      <vt:lpstr>'IND Prelim B'!Print_Area</vt:lpstr>
      <vt:lpstr>'IND Prelim C'!Print_Area</vt:lpstr>
      <vt:lpstr>'IND PreNov'!Print_Area</vt:lpstr>
      <vt:lpstr>'Lungers Walk'!Print_Area</vt:lpstr>
      <vt:lpstr>'PDD Walk A'!Print_Area</vt:lpstr>
      <vt:lpstr>'PDD Walk B'!Print_Area</vt:lpstr>
      <vt:lpstr>'SQ Nov Comp'!Print_Area</vt:lpstr>
      <vt:lpstr>'SQ Nov Free'!Print_Area</vt:lpstr>
      <vt:lpstr>'SQ Prelim Comp'!Print_Area</vt:lpstr>
      <vt:lpstr>' IND Prelim A'!Print_Titles</vt:lpstr>
      <vt:lpstr>'Barrel PDD A'!Print_Titles</vt:lpstr>
      <vt:lpstr>'Barrel PDD B 23A '!Print_Titles</vt:lpstr>
      <vt:lpstr>'Barrel PDD B 23B'!Print_Titles</vt:lpstr>
      <vt:lpstr>'Barrel SQUAD'!Print_Titles</vt:lpstr>
      <vt:lpstr>'IND Adv'!Print_Titles</vt:lpstr>
      <vt:lpstr>'IND Int'!Print_Titles</vt:lpstr>
      <vt:lpstr>'IND Nov'!Print_Titles</vt:lpstr>
      <vt:lpstr>'IND Open'!Print_Titles</vt:lpstr>
      <vt:lpstr>'IND Prelim B'!Print_Titles</vt:lpstr>
      <vt:lpstr>'IND Prelim C'!Print_Titles</vt:lpstr>
      <vt:lpstr>'IND PreNov'!Print_Titles</vt:lpstr>
      <vt:lpstr>'Lungers Walk'!Print_Titles</vt:lpstr>
      <vt:lpstr>'PDD Walk A'!Print_Titles</vt:lpstr>
      <vt:lpstr>'PDD Walk B'!Print_Titles</vt:lpstr>
      <vt:lpstr>'SQ Nov Comp'!Print_Titles</vt:lpstr>
      <vt:lpstr>'SQ Nov Free'!Print_Titles</vt:lpstr>
      <vt:lpstr>'SQ Prelim Comp'!Print_Titles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Karen Fraser</cp:lastModifiedBy>
  <cp:lastPrinted>2018-06-11T05:12:01Z</cp:lastPrinted>
  <dcterms:created xsi:type="dcterms:W3CDTF">2015-05-03T01:56:20Z</dcterms:created>
  <dcterms:modified xsi:type="dcterms:W3CDTF">2018-06-14T23:45:06Z</dcterms:modified>
</cp:coreProperties>
</file>